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mJones\Desktop\"/>
    </mc:Choice>
  </mc:AlternateContent>
  <xr:revisionPtr revIDLastSave="0" documentId="8_{0A95329D-111F-4D45-A8B5-FCE1B313AC2A}" xr6:coauthVersionLast="47" xr6:coauthVersionMax="47" xr10:uidLastSave="{00000000-0000-0000-0000-000000000000}"/>
  <bookViews>
    <workbookView xWindow="-120" yWindow="-120" windowWidth="30960" windowHeight="15720" activeTab="6" xr2:uid="{611EC3F1-CEF6-4DF7-A6A9-1F14AA5DC753}"/>
  </bookViews>
  <sheets>
    <sheet name="Chad" sheetId="1" r:id="rId1"/>
    <sheet name="Ghana" sheetId="2" r:id="rId2"/>
    <sheet name="Sri Lanka" sheetId="3" r:id="rId3"/>
    <sheet name="Suriname" sheetId="4" r:id="rId4"/>
    <sheet name="Ukraine" sheetId="5" r:id="rId5"/>
    <sheet name="Zambia" sheetId="6" r:id="rId6"/>
    <sheet name="Summary" sheetId="7" r:id="rId7"/>
    <sheet name="External debt payments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7" l="1"/>
  <c r="H25" i="7"/>
  <c r="G25" i="7"/>
  <c r="F25" i="7"/>
  <c r="E25" i="7"/>
  <c r="D25" i="7"/>
  <c r="C25" i="7"/>
  <c r="J21" i="7"/>
  <c r="I21" i="7"/>
  <c r="I24" i="7"/>
  <c r="H24" i="7"/>
  <c r="G24" i="7"/>
  <c r="F24" i="7"/>
  <c r="E24" i="7"/>
  <c r="D24" i="7"/>
  <c r="C24" i="7"/>
  <c r="H23" i="7"/>
  <c r="H22" i="7"/>
  <c r="H21" i="7"/>
  <c r="G23" i="7"/>
  <c r="G22" i="7"/>
  <c r="G21" i="7"/>
  <c r="F23" i="7"/>
  <c r="F22" i="7"/>
  <c r="F21" i="7"/>
  <c r="E23" i="7"/>
  <c r="E22" i="7"/>
  <c r="E21" i="7"/>
  <c r="D23" i="7"/>
  <c r="D22" i="7"/>
  <c r="D21" i="7"/>
  <c r="C23" i="7"/>
  <c r="C22" i="7"/>
  <c r="C21" i="7"/>
  <c r="B23" i="7"/>
  <c r="B22" i="7"/>
  <c r="B21" i="7"/>
  <c r="B74" i="1"/>
  <c r="B76" i="1" s="1"/>
  <c r="H72" i="1"/>
  <c r="G72" i="1"/>
  <c r="F72" i="1"/>
  <c r="E72" i="1"/>
  <c r="D72" i="1"/>
  <c r="C72" i="1"/>
  <c r="B72" i="1"/>
  <c r="C68" i="1"/>
  <c r="D68" i="1" s="1"/>
  <c r="E68" i="1" s="1"/>
  <c r="F68" i="1" s="1"/>
  <c r="G68" i="1" s="1"/>
  <c r="H68" i="1" s="1"/>
  <c r="C73" i="1" l="1"/>
  <c r="D73" i="1" s="1"/>
  <c r="E73" i="1" s="1"/>
  <c r="F73" i="1" s="1"/>
  <c r="G73" i="1" s="1"/>
  <c r="H73" i="1" l="1"/>
  <c r="G74" i="1"/>
  <c r="G76" i="1" s="1"/>
  <c r="D74" i="1"/>
  <c r="D76" i="1" s="1"/>
  <c r="C74" i="1"/>
  <c r="C76" i="1" s="1"/>
  <c r="C77" i="1" s="1"/>
  <c r="F74" i="1"/>
  <c r="F76" i="1" s="1"/>
  <c r="E74" i="1"/>
  <c r="E76" i="1" s="1"/>
  <c r="D77" i="1" l="1"/>
  <c r="E77" i="1" s="1"/>
  <c r="F77" i="1" s="1"/>
  <c r="G77" i="1" s="1"/>
  <c r="H74" i="1"/>
  <c r="H76" i="1" s="1"/>
  <c r="H77" i="1" l="1"/>
  <c r="N60" i="6" l="1"/>
  <c r="J60" i="6"/>
  <c r="I60" i="6"/>
  <c r="S48" i="6"/>
  <c r="I48" i="6"/>
  <c r="F32" i="8"/>
  <c r="E5" i="8"/>
  <c r="E6" i="8" s="1"/>
  <c r="E7" i="8" s="1"/>
  <c r="E8" i="8" s="1"/>
  <c r="E9" i="8" s="1"/>
  <c r="E10" i="8" s="1"/>
  <c r="E11" i="8" s="1"/>
  <c r="E12" i="8" s="1"/>
  <c r="E13" i="8" s="1"/>
  <c r="E14" i="8" s="1"/>
  <c r="E15" i="8" s="1"/>
  <c r="E16" i="8" s="1"/>
  <c r="E17" i="8" s="1"/>
  <c r="E18" i="8" s="1"/>
  <c r="E19" i="8" s="1"/>
  <c r="E20" i="8" s="1"/>
  <c r="E21" i="8" s="1"/>
  <c r="E22" i="8" s="1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E33" i="8" s="1"/>
  <c r="E34" i="8" s="1"/>
  <c r="E35" i="8" s="1"/>
  <c r="E36" i="8" s="1"/>
  <c r="E37" i="8" s="1"/>
  <c r="E38" i="8" s="1"/>
  <c r="E39" i="8" s="1"/>
  <c r="E40" i="8" s="1"/>
  <c r="E41" i="8" s="1"/>
  <c r="E42" i="8" s="1"/>
  <c r="E43" i="8" s="1"/>
  <c r="E44" i="8" s="1"/>
  <c r="E45" i="8" s="1"/>
  <c r="E46" i="8" s="1"/>
  <c r="E47" i="8" s="1"/>
  <c r="E48" i="8" s="1"/>
  <c r="E49" i="8" s="1"/>
  <c r="E50" i="8" s="1"/>
  <c r="E51" i="8" s="1"/>
  <c r="E52" i="8" s="1"/>
  <c r="E53" i="8" s="1"/>
  <c r="E54" i="8" s="1"/>
  <c r="E55" i="8" s="1"/>
  <c r="E56" i="8" s="1"/>
  <c r="E57" i="8" s="1"/>
  <c r="E58" i="8" s="1"/>
  <c r="E59" i="8" s="1"/>
  <c r="E60" i="8" s="1"/>
  <c r="E61" i="8" s="1"/>
  <c r="E62" i="8" s="1"/>
  <c r="E63" i="8" s="1"/>
  <c r="E64" i="8" s="1"/>
  <c r="E65" i="8" s="1"/>
  <c r="E66" i="8" s="1"/>
  <c r="E67" i="8" s="1"/>
  <c r="E68" i="8" s="1"/>
  <c r="E69" i="8" s="1"/>
  <c r="E70" i="8" s="1"/>
  <c r="E71" i="8" s="1"/>
  <c r="E72" i="8" s="1"/>
  <c r="E73" i="8" s="1"/>
  <c r="E74" i="8" s="1"/>
  <c r="E75" i="8" s="1"/>
  <c r="E76" i="8" s="1"/>
  <c r="E77" i="8" s="1"/>
  <c r="E78" i="8" s="1"/>
  <c r="E79" i="8" s="1"/>
  <c r="E80" i="8" s="1"/>
  <c r="E81" i="8" s="1"/>
  <c r="E82" i="8" s="1"/>
  <c r="E83" i="8" s="1"/>
  <c r="E84" i="8" s="1"/>
  <c r="E85" i="8" s="1"/>
  <c r="E86" i="8" s="1"/>
  <c r="E87" i="8" s="1"/>
  <c r="E88" i="8" s="1"/>
  <c r="E89" i="8" s="1"/>
  <c r="E4" i="8"/>
  <c r="C2" i="8"/>
  <c r="D86" i="8"/>
  <c r="D13" i="8"/>
  <c r="D6" i="8"/>
  <c r="D75" i="8"/>
  <c r="D81" i="8"/>
  <c r="D67" i="8"/>
  <c r="D55" i="8"/>
  <c r="D47" i="8"/>
  <c r="D18" i="8"/>
  <c r="D72" i="8"/>
  <c r="D45" i="8"/>
  <c r="D85" i="8"/>
  <c r="D44" i="8"/>
  <c r="D70" i="8"/>
  <c r="D10" i="8"/>
  <c r="D11" i="8"/>
  <c r="D38" i="8"/>
  <c r="D73" i="8"/>
  <c r="D3" i="8"/>
  <c r="D34" i="8"/>
  <c r="D71" i="8"/>
  <c r="D87" i="8"/>
  <c r="D32" i="8"/>
  <c r="D24" i="8"/>
  <c r="D76" i="8"/>
  <c r="D53" i="8"/>
  <c r="D61" i="8"/>
  <c r="D78" i="8"/>
  <c r="D58" i="8"/>
  <c r="D8" i="8"/>
  <c r="D43" i="8"/>
  <c r="D40" i="8"/>
  <c r="D46" i="8"/>
  <c r="D80" i="8"/>
  <c r="D52" i="8"/>
  <c r="D41" i="8"/>
  <c r="D60" i="8"/>
  <c r="D29" i="8"/>
  <c r="D12" i="8"/>
  <c r="D25" i="8"/>
  <c r="D64" i="8"/>
  <c r="D26" i="8"/>
  <c r="D7" i="8"/>
  <c r="D56" i="8"/>
  <c r="D59" i="8"/>
  <c r="D74" i="8"/>
  <c r="D4" i="8"/>
  <c r="D66" i="8"/>
  <c r="D35" i="8"/>
  <c r="D33" i="8"/>
  <c r="D30" i="8"/>
  <c r="D88" i="8"/>
  <c r="D83" i="8"/>
  <c r="D62" i="8"/>
  <c r="D63" i="8"/>
  <c r="D84" i="8"/>
  <c r="D31" i="8"/>
  <c r="D36" i="8"/>
  <c r="D48" i="8"/>
  <c r="D16" i="8"/>
  <c r="D23" i="8"/>
  <c r="D50" i="8"/>
  <c r="D19" i="8"/>
  <c r="D77" i="8"/>
  <c r="D79" i="8"/>
  <c r="D15" i="8"/>
  <c r="D37" i="8"/>
  <c r="D54" i="8"/>
  <c r="D9" i="8"/>
  <c r="D17" i="8"/>
  <c r="D20" i="8"/>
  <c r="D69" i="8"/>
  <c r="D39" i="8"/>
  <c r="D49" i="8"/>
  <c r="D51" i="8"/>
  <c r="D21" i="8"/>
  <c r="D65" i="8"/>
  <c r="D27" i="8"/>
  <c r="D82" i="8"/>
  <c r="D68" i="8"/>
  <c r="D57" i="8"/>
  <c r="D14" i="8"/>
  <c r="D22" i="8"/>
  <c r="D28" i="8"/>
  <c r="D42" i="8"/>
  <c r="D5" i="8"/>
  <c r="D89" i="8"/>
  <c r="G16" i="7" l="1"/>
  <c r="B137" i="6"/>
  <c r="F16" i="7"/>
  <c r="F15" i="7"/>
  <c r="E16" i="7"/>
  <c r="E15" i="7"/>
  <c r="D16" i="7"/>
  <c r="D17" i="7" s="1"/>
  <c r="D15" i="7"/>
  <c r="C16" i="7"/>
  <c r="C15" i="7"/>
  <c r="B16" i="7"/>
  <c r="G10" i="7"/>
  <c r="F10" i="7"/>
  <c r="F9" i="7"/>
  <c r="E9" i="7"/>
  <c r="E10" i="7"/>
  <c r="D10" i="7"/>
  <c r="D9" i="7"/>
  <c r="C10" i="7"/>
  <c r="C9" i="7"/>
  <c r="B10" i="7"/>
  <c r="C11" i="7"/>
  <c r="F4" i="7"/>
  <c r="F3" i="7"/>
  <c r="E4" i="7"/>
  <c r="E5" i="7" s="1"/>
  <c r="E3" i="7"/>
  <c r="D4" i="7"/>
  <c r="D3" i="7"/>
  <c r="D5" i="7" s="1"/>
  <c r="C4" i="7"/>
  <c r="C3" i="7"/>
  <c r="C5" i="7" s="1"/>
  <c r="B4" i="7"/>
  <c r="M6" i="6"/>
  <c r="B156" i="6"/>
  <c r="B183" i="6"/>
  <c r="F184" i="6" s="1"/>
  <c r="G184" i="6" s="1"/>
  <c r="V186" i="6"/>
  <c r="G183" i="6"/>
  <c r="H183" i="6" s="1"/>
  <c r="I183" i="6" s="1"/>
  <c r="J183" i="6" s="1"/>
  <c r="K183" i="6" s="1"/>
  <c r="L183" i="6" s="1"/>
  <c r="M183" i="6" s="1"/>
  <c r="N183" i="6" s="1"/>
  <c r="O183" i="6" s="1"/>
  <c r="P183" i="6" s="1"/>
  <c r="Q183" i="6" s="1"/>
  <c r="R183" i="6" s="1"/>
  <c r="S183" i="6" s="1"/>
  <c r="T183" i="6" s="1"/>
  <c r="U183" i="6" s="1"/>
  <c r="V183" i="6" s="1"/>
  <c r="B175" i="6"/>
  <c r="F175" i="6" s="1"/>
  <c r="G174" i="6"/>
  <c r="H174" i="6" s="1"/>
  <c r="I174" i="6" s="1"/>
  <c r="J174" i="6" s="1"/>
  <c r="K174" i="6" s="1"/>
  <c r="L174" i="6" s="1"/>
  <c r="M174" i="6" s="1"/>
  <c r="N174" i="6" s="1"/>
  <c r="O174" i="6" s="1"/>
  <c r="P174" i="6" s="1"/>
  <c r="F170" i="6"/>
  <c r="B169" i="6"/>
  <c r="J168" i="6"/>
  <c r="J170" i="6" s="1"/>
  <c r="I168" i="6"/>
  <c r="I170" i="6" s="1"/>
  <c r="H168" i="6"/>
  <c r="H170" i="6" s="1"/>
  <c r="D168" i="6"/>
  <c r="G166" i="6"/>
  <c r="G170" i="6" s="1"/>
  <c r="D166" i="6"/>
  <c r="D164" i="6"/>
  <c r="E162" i="6"/>
  <c r="F162" i="6" s="1"/>
  <c r="G162" i="6" s="1"/>
  <c r="H162" i="6" s="1"/>
  <c r="I162" i="6" s="1"/>
  <c r="J162" i="6" s="1"/>
  <c r="S131" i="6"/>
  <c r="C131" i="6"/>
  <c r="S129" i="6"/>
  <c r="D129" i="6"/>
  <c r="D131" i="6" s="1"/>
  <c r="S123" i="6"/>
  <c r="C123" i="6"/>
  <c r="S121" i="6"/>
  <c r="D121" i="6"/>
  <c r="D123" i="6" s="1"/>
  <c r="S113" i="6"/>
  <c r="D113" i="6"/>
  <c r="D115" i="6" s="1"/>
  <c r="AE100" i="6"/>
  <c r="AE131" i="6" s="1"/>
  <c r="AD100" i="6"/>
  <c r="AD131" i="6" s="1"/>
  <c r="AC100" i="6"/>
  <c r="AC131" i="6" s="1"/>
  <c r="AB100" i="6"/>
  <c r="AB131" i="6" s="1"/>
  <c r="AA100" i="6"/>
  <c r="AA131" i="6" s="1"/>
  <c r="Z100" i="6"/>
  <c r="Z131" i="6" s="1"/>
  <c r="Y100" i="6"/>
  <c r="Y131" i="6" s="1"/>
  <c r="X100" i="6"/>
  <c r="X131" i="6" s="1"/>
  <c r="W100" i="6"/>
  <c r="W131" i="6" s="1"/>
  <c r="V100" i="6"/>
  <c r="V131" i="6" s="1"/>
  <c r="U100" i="6"/>
  <c r="U131" i="6" s="1"/>
  <c r="T100" i="6"/>
  <c r="T131" i="6" s="1"/>
  <c r="L100" i="6"/>
  <c r="AW98" i="6"/>
  <c r="AW129" i="6" s="1"/>
  <c r="AV98" i="6"/>
  <c r="AV129" i="6" s="1"/>
  <c r="AU98" i="6"/>
  <c r="AU129" i="6" s="1"/>
  <c r="AT98" i="6"/>
  <c r="AT129" i="6" s="1"/>
  <c r="AS98" i="6"/>
  <c r="AS129" i="6" s="1"/>
  <c r="AR98" i="6"/>
  <c r="AR129" i="6" s="1"/>
  <c r="AQ98" i="6"/>
  <c r="AQ129" i="6" s="1"/>
  <c r="AP98" i="6"/>
  <c r="AP129" i="6" s="1"/>
  <c r="AO98" i="6"/>
  <c r="AO129" i="6" s="1"/>
  <c r="AN98" i="6"/>
  <c r="AN129" i="6" s="1"/>
  <c r="AM98" i="6"/>
  <c r="AM129" i="6" s="1"/>
  <c r="AL98" i="6"/>
  <c r="AL129" i="6" s="1"/>
  <c r="AK98" i="6"/>
  <c r="AK129" i="6" s="1"/>
  <c r="AJ98" i="6"/>
  <c r="AJ129" i="6" s="1"/>
  <c r="AI98" i="6"/>
  <c r="AI129" i="6" s="1"/>
  <c r="AH98" i="6"/>
  <c r="AH129" i="6" s="1"/>
  <c r="AG98" i="6"/>
  <c r="AG129" i="6" s="1"/>
  <c r="AF98" i="6"/>
  <c r="AF129" i="6" s="1"/>
  <c r="AE98" i="6"/>
  <c r="AE129" i="6" s="1"/>
  <c r="AD98" i="6"/>
  <c r="AD129" i="6" s="1"/>
  <c r="AC98" i="6"/>
  <c r="AC129" i="6" s="1"/>
  <c r="AB98" i="6"/>
  <c r="AB129" i="6" s="1"/>
  <c r="AA98" i="6"/>
  <c r="AA129" i="6" s="1"/>
  <c r="Z98" i="6"/>
  <c r="Z129" i="6" s="1"/>
  <c r="Y98" i="6"/>
  <c r="Y129" i="6" s="1"/>
  <c r="X98" i="6"/>
  <c r="X129" i="6" s="1"/>
  <c r="W98" i="6"/>
  <c r="W129" i="6" s="1"/>
  <c r="V98" i="6"/>
  <c r="V129" i="6" s="1"/>
  <c r="U98" i="6"/>
  <c r="U129" i="6" s="1"/>
  <c r="T98" i="6"/>
  <c r="T129" i="6" s="1"/>
  <c r="L98" i="6"/>
  <c r="F98" i="6"/>
  <c r="F100" i="6" s="1"/>
  <c r="AE92" i="6"/>
  <c r="AE123" i="6" s="1"/>
  <c r="AD92" i="6"/>
  <c r="AD123" i="6" s="1"/>
  <c r="AC92" i="6"/>
  <c r="AC123" i="6" s="1"/>
  <c r="AB92" i="6"/>
  <c r="AB123" i="6" s="1"/>
  <c r="AA92" i="6"/>
  <c r="AA123" i="6" s="1"/>
  <c r="Z92" i="6"/>
  <c r="Z123" i="6" s="1"/>
  <c r="Y92" i="6"/>
  <c r="Y123" i="6" s="1"/>
  <c r="X92" i="6"/>
  <c r="X123" i="6" s="1"/>
  <c r="W92" i="6"/>
  <c r="W123" i="6" s="1"/>
  <c r="V92" i="6"/>
  <c r="V123" i="6" s="1"/>
  <c r="U92" i="6"/>
  <c r="U123" i="6" s="1"/>
  <c r="T92" i="6"/>
  <c r="T123" i="6" s="1"/>
  <c r="K92" i="6"/>
  <c r="L92" i="6" s="1"/>
  <c r="J92" i="6"/>
  <c r="AW90" i="6"/>
  <c r="AW121" i="6" s="1"/>
  <c r="AV90" i="6"/>
  <c r="AV121" i="6" s="1"/>
  <c r="AU90" i="6"/>
  <c r="AU121" i="6" s="1"/>
  <c r="AT90" i="6"/>
  <c r="AT121" i="6" s="1"/>
  <c r="AS90" i="6"/>
  <c r="AS121" i="6" s="1"/>
  <c r="AR90" i="6"/>
  <c r="AR121" i="6" s="1"/>
  <c r="AQ90" i="6"/>
  <c r="AQ121" i="6" s="1"/>
  <c r="AP90" i="6"/>
  <c r="AP121" i="6" s="1"/>
  <c r="AO90" i="6"/>
  <c r="AO121" i="6" s="1"/>
  <c r="AN90" i="6"/>
  <c r="AN121" i="6" s="1"/>
  <c r="AM90" i="6"/>
  <c r="AM121" i="6" s="1"/>
  <c r="AL90" i="6"/>
  <c r="AL121" i="6" s="1"/>
  <c r="AK90" i="6"/>
  <c r="AK121" i="6" s="1"/>
  <c r="AJ90" i="6"/>
  <c r="AJ121" i="6" s="1"/>
  <c r="AI90" i="6"/>
  <c r="AI121" i="6" s="1"/>
  <c r="AH90" i="6"/>
  <c r="AH121" i="6" s="1"/>
  <c r="AG90" i="6"/>
  <c r="AG121" i="6" s="1"/>
  <c r="AF90" i="6"/>
  <c r="AF121" i="6" s="1"/>
  <c r="AE90" i="6"/>
  <c r="AE121" i="6" s="1"/>
  <c r="AD90" i="6"/>
  <c r="AD121" i="6" s="1"/>
  <c r="AC90" i="6"/>
  <c r="AC121" i="6" s="1"/>
  <c r="AB90" i="6"/>
  <c r="AB121" i="6" s="1"/>
  <c r="AA90" i="6"/>
  <c r="AA121" i="6" s="1"/>
  <c r="Z90" i="6"/>
  <c r="Z121" i="6" s="1"/>
  <c r="Y90" i="6"/>
  <c r="Y121" i="6" s="1"/>
  <c r="X90" i="6"/>
  <c r="X121" i="6" s="1"/>
  <c r="W90" i="6"/>
  <c r="W121" i="6" s="1"/>
  <c r="V90" i="6"/>
  <c r="V121" i="6" s="1"/>
  <c r="U90" i="6"/>
  <c r="U121" i="6" s="1"/>
  <c r="T90" i="6"/>
  <c r="T121" i="6" s="1"/>
  <c r="K90" i="6"/>
  <c r="L90" i="6" s="1"/>
  <c r="M90" i="6" s="1"/>
  <c r="N90" i="6" s="1"/>
  <c r="J90" i="6"/>
  <c r="F90" i="6"/>
  <c r="F92" i="6" s="1"/>
  <c r="AE84" i="6"/>
  <c r="AE115" i="6" s="1"/>
  <c r="AD84" i="6"/>
  <c r="AD115" i="6" s="1"/>
  <c r="AC84" i="6"/>
  <c r="AC115" i="6" s="1"/>
  <c r="AB84" i="6"/>
  <c r="AB115" i="6" s="1"/>
  <c r="AA84" i="6"/>
  <c r="AA115" i="6" s="1"/>
  <c r="Z84" i="6"/>
  <c r="Z115" i="6" s="1"/>
  <c r="Y84" i="6"/>
  <c r="Y115" i="6" s="1"/>
  <c r="X84" i="6"/>
  <c r="X115" i="6" s="1"/>
  <c r="W84" i="6"/>
  <c r="W115" i="6" s="1"/>
  <c r="V84" i="6"/>
  <c r="V115" i="6" s="1"/>
  <c r="U84" i="6"/>
  <c r="U115" i="6" s="1"/>
  <c r="T84" i="6"/>
  <c r="T115" i="6" s="1"/>
  <c r="S84" i="6"/>
  <c r="S115" i="6" s="1"/>
  <c r="R84" i="6"/>
  <c r="Q84" i="6"/>
  <c r="AW82" i="6"/>
  <c r="AW113" i="6" s="1"/>
  <c r="AV82" i="6"/>
  <c r="AV113" i="6" s="1"/>
  <c r="AU82" i="6"/>
  <c r="AU113" i="6" s="1"/>
  <c r="AT82" i="6"/>
  <c r="AT113" i="6" s="1"/>
  <c r="AS82" i="6"/>
  <c r="AS113" i="6" s="1"/>
  <c r="AR82" i="6"/>
  <c r="AR113" i="6" s="1"/>
  <c r="AQ82" i="6"/>
  <c r="AQ113" i="6" s="1"/>
  <c r="AP82" i="6"/>
  <c r="AP113" i="6" s="1"/>
  <c r="AO82" i="6"/>
  <c r="AO113" i="6" s="1"/>
  <c r="AN82" i="6"/>
  <c r="AN113" i="6" s="1"/>
  <c r="AM82" i="6"/>
  <c r="AM113" i="6" s="1"/>
  <c r="AL82" i="6"/>
  <c r="AL113" i="6" s="1"/>
  <c r="AK82" i="6"/>
  <c r="AK113" i="6" s="1"/>
  <c r="AJ82" i="6"/>
  <c r="AJ113" i="6" s="1"/>
  <c r="AI82" i="6"/>
  <c r="AI113" i="6" s="1"/>
  <c r="AH82" i="6"/>
  <c r="AH113" i="6" s="1"/>
  <c r="AG82" i="6"/>
  <c r="AG113" i="6" s="1"/>
  <c r="AF82" i="6"/>
  <c r="AF113" i="6" s="1"/>
  <c r="AE82" i="6"/>
  <c r="AE113" i="6" s="1"/>
  <c r="AD82" i="6"/>
  <c r="AD113" i="6" s="1"/>
  <c r="AC82" i="6"/>
  <c r="AC113" i="6" s="1"/>
  <c r="AB82" i="6"/>
  <c r="AB113" i="6" s="1"/>
  <c r="AA82" i="6"/>
  <c r="AA113" i="6" s="1"/>
  <c r="Z82" i="6"/>
  <c r="Z113" i="6" s="1"/>
  <c r="Y82" i="6"/>
  <c r="Y113" i="6" s="1"/>
  <c r="X82" i="6"/>
  <c r="X113" i="6" s="1"/>
  <c r="W82" i="6"/>
  <c r="W113" i="6" s="1"/>
  <c r="V82" i="6"/>
  <c r="V113" i="6" s="1"/>
  <c r="U82" i="6"/>
  <c r="U113" i="6" s="1"/>
  <c r="T82" i="6"/>
  <c r="T113" i="6" s="1"/>
  <c r="I82" i="6"/>
  <c r="J82" i="6" s="1"/>
  <c r="F82" i="6"/>
  <c r="I81" i="6"/>
  <c r="J81" i="6" s="1"/>
  <c r="K81" i="6" s="1"/>
  <c r="L81" i="6" s="1"/>
  <c r="M81" i="6" s="1"/>
  <c r="N81" i="6" s="1"/>
  <c r="O81" i="6" s="1"/>
  <c r="P81" i="6" s="1"/>
  <c r="Q81" i="6" s="1"/>
  <c r="R81" i="6" s="1"/>
  <c r="S81" i="6" s="1"/>
  <c r="T81" i="6" s="1"/>
  <c r="U81" i="6" s="1"/>
  <c r="V81" i="6" s="1"/>
  <c r="W81" i="6" s="1"/>
  <c r="X81" i="6" s="1"/>
  <c r="Y81" i="6" s="1"/>
  <c r="Z81" i="6" s="1"/>
  <c r="AA81" i="6" s="1"/>
  <c r="AB81" i="6" s="1"/>
  <c r="AC81" i="6" s="1"/>
  <c r="AD81" i="6" s="1"/>
  <c r="AE81" i="6" s="1"/>
  <c r="AF81" i="6" s="1"/>
  <c r="AG81" i="6" s="1"/>
  <c r="AH81" i="6" s="1"/>
  <c r="AI81" i="6" s="1"/>
  <c r="AJ81" i="6" s="1"/>
  <c r="AK81" i="6" s="1"/>
  <c r="AL81" i="6" s="1"/>
  <c r="AM81" i="6" s="1"/>
  <c r="AN81" i="6" s="1"/>
  <c r="AO81" i="6" s="1"/>
  <c r="AP81" i="6" s="1"/>
  <c r="AQ81" i="6" s="1"/>
  <c r="AR81" i="6" s="1"/>
  <c r="AS81" i="6" s="1"/>
  <c r="AT81" i="6" s="1"/>
  <c r="AU81" i="6" s="1"/>
  <c r="AV81" i="6" s="1"/>
  <c r="AW81" i="6" s="1"/>
  <c r="I76" i="6"/>
  <c r="J76" i="6" s="1"/>
  <c r="K76" i="6" s="1"/>
  <c r="L76" i="6" s="1"/>
  <c r="M76" i="6" s="1"/>
  <c r="N76" i="6" s="1"/>
  <c r="O76" i="6" s="1"/>
  <c r="P76" i="6" s="1"/>
  <c r="Q76" i="6" s="1"/>
  <c r="R76" i="6" s="1"/>
  <c r="S76" i="6" s="1"/>
  <c r="T76" i="6" s="1"/>
  <c r="U76" i="6" s="1"/>
  <c r="V76" i="6" s="1"/>
  <c r="W76" i="6" s="1"/>
  <c r="X76" i="6" s="1"/>
  <c r="Y76" i="6" s="1"/>
  <c r="Z76" i="6" s="1"/>
  <c r="AA76" i="6" s="1"/>
  <c r="AB76" i="6" s="1"/>
  <c r="AC76" i="6" s="1"/>
  <c r="AD76" i="6" s="1"/>
  <c r="AE76" i="6" s="1"/>
  <c r="AF76" i="6" s="1"/>
  <c r="AG76" i="6" s="1"/>
  <c r="AH76" i="6" s="1"/>
  <c r="AI76" i="6" s="1"/>
  <c r="AJ76" i="6" s="1"/>
  <c r="AK76" i="6" s="1"/>
  <c r="AL76" i="6" s="1"/>
  <c r="AM76" i="6" s="1"/>
  <c r="AN76" i="6" s="1"/>
  <c r="AO76" i="6" s="1"/>
  <c r="AP76" i="6" s="1"/>
  <c r="AQ76" i="6" s="1"/>
  <c r="AR76" i="6" s="1"/>
  <c r="AS76" i="6" s="1"/>
  <c r="AT76" i="6" s="1"/>
  <c r="AU76" i="6" s="1"/>
  <c r="AV76" i="6" s="1"/>
  <c r="AW76" i="6" s="1"/>
  <c r="AX76" i="6" s="1"/>
  <c r="D62" i="6"/>
  <c r="E62" i="6" s="1"/>
  <c r="F62" i="6" s="1"/>
  <c r="D50" i="6"/>
  <c r="E50" i="6" s="1"/>
  <c r="F50" i="6" s="1"/>
  <c r="E65" i="6"/>
  <c r="D65" i="6"/>
  <c r="E59" i="6"/>
  <c r="F59" i="6" s="1"/>
  <c r="G59" i="6" s="1"/>
  <c r="H59" i="6" s="1"/>
  <c r="I59" i="6" s="1"/>
  <c r="J59" i="6" s="1"/>
  <c r="K59" i="6" s="1"/>
  <c r="L59" i="6" s="1"/>
  <c r="M59" i="6" s="1"/>
  <c r="N59" i="6" s="1"/>
  <c r="O59" i="6" s="1"/>
  <c r="P59" i="6" s="1"/>
  <c r="Q59" i="6" s="1"/>
  <c r="R59" i="6" s="1"/>
  <c r="S59" i="6" s="1"/>
  <c r="T59" i="6" s="1"/>
  <c r="U59" i="6" s="1"/>
  <c r="E53" i="6"/>
  <c r="D53" i="6"/>
  <c r="J48" i="6"/>
  <c r="E47" i="6"/>
  <c r="F47" i="6" s="1"/>
  <c r="G47" i="6" s="1"/>
  <c r="H47" i="6" s="1"/>
  <c r="I47" i="6" s="1"/>
  <c r="J47" i="6" s="1"/>
  <c r="K47" i="6" s="1"/>
  <c r="L47" i="6" s="1"/>
  <c r="M47" i="6" s="1"/>
  <c r="N47" i="6" s="1"/>
  <c r="O47" i="6" s="1"/>
  <c r="P47" i="6" s="1"/>
  <c r="Q47" i="6" s="1"/>
  <c r="R47" i="6" s="1"/>
  <c r="S47" i="6" s="1"/>
  <c r="T47" i="6" s="1"/>
  <c r="U47" i="6" s="1"/>
  <c r="V47" i="6" s="1"/>
  <c r="W47" i="6" s="1"/>
  <c r="X47" i="6" s="1"/>
  <c r="Y47" i="6" s="1"/>
  <c r="Z47" i="6" s="1"/>
  <c r="AA47" i="6" s="1"/>
  <c r="F36" i="6"/>
  <c r="E36" i="6"/>
  <c r="D36" i="6"/>
  <c r="P35" i="6"/>
  <c r="P36" i="6" s="1"/>
  <c r="O35" i="6"/>
  <c r="N35" i="6"/>
  <c r="N36" i="6" s="1"/>
  <c r="M35" i="6"/>
  <c r="M36" i="6" s="1"/>
  <c r="L35" i="6"/>
  <c r="L36" i="6" s="1"/>
  <c r="K35" i="6"/>
  <c r="K36" i="6" s="1"/>
  <c r="J35" i="6"/>
  <c r="J36" i="6" s="1"/>
  <c r="I35" i="6"/>
  <c r="I36" i="6" s="1"/>
  <c r="H35" i="6"/>
  <c r="H36" i="6" s="1"/>
  <c r="G35" i="6"/>
  <c r="G36" i="6" s="1"/>
  <c r="O33" i="6"/>
  <c r="E32" i="6"/>
  <c r="F32" i="6" s="1"/>
  <c r="G32" i="6" s="1"/>
  <c r="H32" i="6" s="1"/>
  <c r="I32" i="6" s="1"/>
  <c r="J32" i="6" s="1"/>
  <c r="K32" i="6" s="1"/>
  <c r="L32" i="6" s="1"/>
  <c r="M32" i="6" s="1"/>
  <c r="N32" i="6" s="1"/>
  <c r="O32" i="6" s="1"/>
  <c r="P32" i="6" s="1"/>
  <c r="Q32" i="6" s="1"/>
  <c r="R32" i="6" s="1"/>
  <c r="F23" i="6"/>
  <c r="E23" i="6"/>
  <c r="D23" i="6"/>
  <c r="AI22" i="6"/>
  <c r="AI23" i="6" s="1"/>
  <c r="AI27" i="6" s="1"/>
  <c r="AH22" i="6"/>
  <c r="AH23" i="6" s="1"/>
  <c r="AH27" i="6" s="1"/>
  <c r="AG22" i="6"/>
  <c r="AG23" i="6" s="1"/>
  <c r="AG27" i="6" s="1"/>
  <c r="AF22" i="6"/>
  <c r="AF23" i="6" s="1"/>
  <c r="AF27" i="6" s="1"/>
  <c r="AE22" i="6"/>
  <c r="AE23" i="6" s="1"/>
  <c r="AE27" i="6" s="1"/>
  <c r="AD22" i="6"/>
  <c r="AD23" i="6" s="1"/>
  <c r="AD27" i="6" s="1"/>
  <c r="AC22" i="6"/>
  <c r="AC23" i="6" s="1"/>
  <c r="AC27" i="6" s="1"/>
  <c r="AB22" i="6"/>
  <c r="AB23" i="6" s="1"/>
  <c r="AB27" i="6" s="1"/>
  <c r="AA22" i="6"/>
  <c r="AA23" i="6" s="1"/>
  <c r="AA27" i="6" s="1"/>
  <c r="Z22" i="6"/>
  <c r="Z23" i="6" s="1"/>
  <c r="Z27" i="6" s="1"/>
  <c r="Y22" i="6"/>
  <c r="Y23" i="6" s="1"/>
  <c r="Y27" i="6" s="1"/>
  <c r="X22" i="6"/>
  <c r="X23" i="6" s="1"/>
  <c r="X27" i="6" s="1"/>
  <c r="W22" i="6"/>
  <c r="W23" i="6" s="1"/>
  <c r="W27" i="6" s="1"/>
  <c r="V22" i="6"/>
  <c r="V23" i="6" s="1"/>
  <c r="V27" i="6" s="1"/>
  <c r="U22" i="6"/>
  <c r="U23" i="6" s="1"/>
  <c r="U27" i="6" s="1"/>
  <c r="T22" i="6"/>
  <c r="T23" i="6" s="1"/>
  <c r="T27" i="6" s="1"/>
  <c r="S22" i="6"/>
  <c r="S23" i="6" s="1"/>
  <c r="R22" i="6"/>
  <c r="R23" i="6" s="1"/>
  <c r="Q22" i="6"/>
  <c r="Q23" i="6" s="1"/>
  <c r="P22" i="6"/>
  <c r="P23" i="6" s="1"/>
  <c r="O22" i="6"/>
  <c r="O23" i="6" s="1"/>
  <c r="N22" i="6"/>
  <c r="N23" i="6" s="1"/>
  <c r="M22" i="6"/>
  <c r="M23" i="6" s="1"/>
  <c r="L22" i="6"/>
  <c r="L23" i="6" s="1"/>
  <c r="K22" i="6"/>
  <c r="K23" i="6" s="1"/>
  <c r="J22" i="6"/>
  <c r="J23" i="6" s="1"/>
  <c r="I22" i="6"/>
  <c r="I23" i="6" s="1"/>
  <c r="H22" i="6"/>
  <c r="H23" i="6" s="1"/>
  <c r="G22" i="6"/>
  <c r="G23" i="6" s="1"/>
  <c r="AI21" i="6"/>
  <c r="AJ22" i="6" s="1"/>
  <c r="AJ23" i="6" s="1"/>
  <c r="AJ27" i="6" s="1"/>
  <c r="F19" i="6"/>
  <c r="E19" i="6"/>
  <c r="D19" i="6"/>
  <c r="D38" i="6" s="1"/>
  <c r="S18" i="6"/>
  <c r="S19" i="6" s="1"/>
  <c r="R18" i="6"/>
  <c r="R19" i="6" s="1"/>
  <c r="Q18" i="6"/>
  <c r="Q19" i="6" s="1"/>
  <c r="G17" i="6"/>
  <c r="H17" i="6" s="1"/>
  <c r="E15" i="6"/>
  <c r="F15" i="6" s="1"/>
  <c r="G15" i="6" s="1"/>
  <c r="H15" i="6" s="1"/>
  <c r="I15" i="6" s="1"/>
  <c r="J15" i="6" s="1"/>
  <c r="K15" i="6" s="1"/>
  <c r="L15" i="6" s="1"/>
  <c r="M15" i="6" s="1"/>
  <c r="N15" i="6" s="1"/>
  <c r="O15" i="6" s="1"/>
  <c r="P15" i="6" s="1"/>
  <c r="Q15" i="6" s="1"/>
  <c r="R15" i="6" s="1"/>
  <c r="S15" i="6" s="1"/>
  <c r="T15" i="6" s="1"/>
  <c r="U15" i="6" s="1"/>
  <c r="V15" i="6" s="1"/>
  <c r="W15" i="6" s="1"/>
  <c r="X15" i="6" s="1"/>
  <c r="Y15" i="6" s="1"/>
  <c r="Z15" i="6" s="1"/>
  <c r="AA15" i="6" s="1"/>
  <c r="AB15" i="6" s="1"/>
  <c r="AC15" i="6" s="1"/>
  <c r="AD15" i="6" s="1"/>
  <c r="AE15" i="6" s="1"/>
  <c r="AF15" i="6" s="1"/>
  <c r="AG15" i="6" s="1"/>
  <c r="AH15" i="6" s="1"/>
  <c r="AI15" i="6" s="1"/>
  <c r="AJ15" i="6" s="1"/>
  <c r="M8" i="6"/>
  <c r="L7" i="6"/>
  <c r="K7" i="6"/>
  <c r="J7" i="6"/>
  <c r="I7" i="6"/>
  <c r="H7" i="6"/>
  <c r="G7" i="6"/>
  <c r="F7" i="6"/>
  <c r="E7" i="6"/>
  <c r="D7" i="6"/>
  <c r="C7" i="6"/>
  <c r="B7" i="6"/>
  <c r="C5" i="6"/>
  <c r="D5" i="6" s="1"/>
  <c r="E5" i="6" s="1"/>
  <c r="F5" i="6" s="1"/>
  <c r="G5" i="6" s="1"/>
  <c r="H5" i="6" s="1"/>
  <c r="I5" i="6" s="1"/>
  <c r="J5" i="6" s="1"/>
  <c r="K5" i="6" s="1"/>
  <c r="L5" i="6" s="1"/>
  <c r="B142" i="6" l="1"/>
  <c r="G4" i="7" s="1"/>
  <c r="H4" i="7"/>
  <c r="F17" i="7"/>
  <c r="E17" i="7"/>
  <c r="H16" i="7"/>
  <c r="C17" i="7"/>
  <c r="F11" i="7"/>
  <c r="E11" i="7"/>
  <c r="H10" i="7"/>
  <c r="D11" i="7"/>
  <c r="F5" i="7"/>
  <c r="F27" i="6"/>
  <c r="D169" i="6"/>
  <c r="G186" i="6"/>
  <c r="G185" i="6"/>
  <c r="F186" i="6"/>
  <c r="F188" i="6" s="1"/>
  <c r="B114" i="6"/>
  <c r="B118" i="6" s="1"/>
  <c r="B132" i="6"/>
  <c r="B135" i="6" s="1"/>
  <c r="B122" i="6"/>
  <c r="B126" i="6" s="1"/>
  <c r="B116" i="6"/>
  <c r="B119" i="6" s="1"/>
  <c r="D170" i="6"/>
  <c r="B130" i="6"/>
  <c r="B134" i="6" s="1"/>
  <c r="B124" i="6"/>
  <c r="B127" i="6" s="1"/>
  <c r="I84" i="6"/>
  <c r="E27" i="6"/>
  <c r="G176" i="6"/>
  <c r="G175" i="6"/>
  <c r="F177" i="6"/>
  <c r="F179" i="6" s="1"/>
  <c r="E164" i="6"/>
  <c r="E170" i="6" s="1"/>
  <c r="C172" i="6" s="1"/>
  <c r="B151" i="6" s="1"/>
  <c r="K82" i="6"/>
  <c r="J84" i="6"/>
  <c r="O90" i="6"/>
  <c r="P90" i="6" s="1"/>
  <c r="M92" i="6"/>
  <c r="N92" i="6" s="1"/>
  <c r="O92" i="6" s="1"/>
  <c r="P92" i="6" s="1"/>
  <c r="M100" i="6"/>
  <c r="N100" i="6" s="1"/>
  <c r="O100" i="6" s="1"/>
  <c r="P100" i="6" s="1"/>
  <c r="M98" i="6"/>
  <c r="N98" i="6" s="1"/>
  <c r="O98" i="6" s="1"/>
  <c r="P98" i="6" s="1"/>
  <c r="O36" i="6"/>
  <c r="F38" i="6"/>
  <c r="AJ21" i="6"/>
  <c r="F51" i="6"/>
  <c r="F53" i="6" s="1"/>
  <c r="G50" i="6"/>
  <c r="F63" i="6"/>
  <c r="F65" i="6" s="1"/>
  <c r="G62" i="6"/>
  <c r="K48" i="6"/>
  <c r="K60" i="6"/>
  <c r="S27" i="6"/>
  <c r="G18" i="6"/>
  <c r="G19" i="6" s="1"/>
  <c r="G38" i="6" s="1"/>
  <c r="P34" i="6"/>
  <c r="Q35" i="6" s="1"/>
  <c r="Q36" i="6" s="1"/>
  <c r="Q38" i="6" s="1"/>
  <c r="E38" i="6"/>
  <c r="R27" i="6"/>
  <c r="I17" i="6"/>
  <c r="H18" i="6"/>
  <c r="H19" i="6" s="1"/>
  <c r="Q27" i="6"/>
  <c r="D27" i="6"/>
  <c r="C151" i="6" l="1"/>
  <c r="G188" i="6"/>
  <c r="H185" i="6"/>
  <c r="B101" i="6"/>
  <c r="B104" i="6" s="1"/>
  <c r="B138" i="6"/>
  <c r="C138" i="6" s="1"/>
  <c r="G177" i="6"/>
  <c r="G179" i="6" s="1"/>
  <c r="H176" i="6"/>
  <c r="H175" i="6" s="1"/>
  <c r="B139" i="6"/>
  <c r="B93" i="6"/>
  <c r="B96" i="6" s="1"/>
  <c r="B91" i="6"/>
  <c r="B95" i="6" s="1"/>
  <c r="L82" i="6"/>
  <c r="K84" i="6"/>
  <c r="B99" i="6"/>
  <c r="B103" i="6" s="1"/>
  <c r="G27" i="6"/>
  <c r="L48" i="6"/>
  <c r="G51" i="6"/>
  <c r="G53" i="6" s="1"/>
  <c r="H50" i="6"/>
  <c r="L60" i="6"/>
  <c r="H62" i="6"/>
  <c r="G63" i="6"/>
  <c r="G65" i="6" s="1"/>
  <c r="Q34" i="6"/>
  <c r="R35" i="6" s="1"/>
  <c r="R36" i="6" s="1"/>
  <c r="R38" i="6" s="1"/>
  <c r="H27" i="6"/>
  <c r="H38" i="6"/>
  <c r="I18" i="6"/>
  <c r="I19" i="6" s="1"/>
  <c r="J17" i="6"/>
  <c r="C139" i="6" l="1"/>
  <c r="G15" i="7"/>
  <c r="I185" i="6"/>
  <c r="H184" i="6"/>
  <c r="H177" i="6"/>
  <c r="H179" i="6" s="1"/>
  <c r="I176" i="6"/>
  <c r="I175" i="6" s="1"/>
  <c r="M82" i="6"/>
  <c r="L84" i="6"/>
  <c r="M60" i="6"/>
  <c r="I62" i="6"/>
  <c r="H63" i="6"/>
  <c r="H65" i="6" s="1"/>
  <c r="H51" i="6"/>
  <c r="H53" i="6" s="1"/>
  <c r="I50" i="6"/>
  <c r="M48" i="6"/>
  <c r="R34" i="6"/>
  <c r="S34" i="6" s="1"/>
  <c r="K17" i="6"/>
  <c r="J18" i="6"/>
  <c r="J19" i="6" s="1"/>
  <c r="I38" i="6"/>
  <c r="I27" i="6"/>
  <c r="G17" i="7" l="1"/>
  <c r="J185" i="6"/>
  <c r="H186" i="6"/>
  <c r="H188" i="6" s="1"/>
  <c r="I184" i="6"/>
  <c r="I177" i="6"/>
  <c r="I179" i="6" s="1"/>
  <c r="J176" i="6"/>
  <c r="J175" i="6" s="1"/>
  <c r="M84" i="6"/>
  <c r="N82" i="6"/>
  <c r="N48" i="6"/>
  <c r="I51" i="6"/>
  <c r="I53" i="6" s="1"/>
  <c r="J50" i="6"/>
  <c r="J62" i="6"/>
  <c r="I63" i="6"/>
  <c r="I65" i="6" s="1"/>
  <c r="J38" i="6"/>
  <c r="J27" i="6"/>
  <c r="K18" i="6"/>
  <c r="K19" i="6" s="1"/>
  <c r="L17" i="6"/>
  <c r="K185" i="6" l="1"/>
  <c r="I186" i="6"/>
  <c r="I188" i="6" s="1"/>
  <c r="J184" i="6"/>
  <c r="J177" i="6"/>
  <c r="J179" i="6" s="1"/>
  <c r="K176" i="6"/>
  <c r="N84" i="6"/>
  <c r="O82" i="6"/>
  <c r="O48" i="6"/>
  <c r="O60" i="6"/>
  <c r="K62" i="6"/>
  <c r="J63" i="6"/>
  <c r="J65" i="6" s="1"/>
  <c r="K50" i="6"/>
  <c r="J51" i="6"/>
  <c r="J53" i="6" s="1"/>
  <c r="L18" i="6"/>
  <c r="L19" i="6" s="1"/>
  <c r="M17" i="6"/>
  <c r="K38" i="6"/>
  <c r="K27" i="6"/>
  <c r="K184" i="6" l="1"/>
  <c r="J186" i="6"/>
  <c r="J188" i="6" s="1"/>
  <c r="L185" i="6"/>
  <c r="L176" i="6"/>
  <c r="K175" i="6"/>
  <c r="P82" i="6"/>
  <c r="P84" i="6" s="1"/>
  <c r="O84" i="6"/>
  <c r="L50" i="6"/>
  <c r="K51" i="6"/>
  <c r="K53" i="6" s="1"/>
  <c r="L62" i="6"/>
  <c r="K63" i="6"/>
  <c r="K65" i="6" s="1"/>
  <c r="P60" i="6"/>
  <c r="P48" i="6"/>
  <c r="M18" i="6"/>
  <c r="M19" i="6" s="1"/>
  <c r="N17" i="6"/>
  <c r="L38" i="6"/>
  <c r="L27" i="6"/>
  <c r="L184" i="6" l="1"/>
  <c r="K186" i="6"/>
  <c r="K188" i="6" s="1"/>
  <c r="M185" i="6"/>
  <c r="B83" i="6"/>
  <c r="B87" i="6" s="1"/>
  <c r="B108" i="6" s="1"/>
  <c r="M176" i="6"/>
  <c r="K177" i="6"/>
  <c r="K179" i="6" s="1"/>
  <c r="L175" i="6"/>
  <c r="B85" i="6"/>
  <c r="B88" i="6" s="1"/>
  <c r="B109" i="6" s="1"/>
  <c r="C109" i="6" s="1"/>
  <c r="M50" i="6"/>
  <c r="L51" i="6"/>
  <c r="L53" i="6" s="1"/>
  <c r="Q48" i="6"/>
  <c r="Q60" i="6"/>
  <c r="L63" i="6"/>
  <c r="L65" i="6" s="1"/>
  <c r="M62" i="6"/>
  <c r="N18" i="6"/>
  <c r="N19" i="6" s="1"/>
  <c r="O17" i="6"/>
  <c r="M27" i="6"/>
  <c r="M38" i="6"/>
  <c r="C108" i="6" l="1"/>
  <c r="G9" i="7"/>
  <c r="B141" i="6"/>
  <c r="N185" i="6"/>
  <c r="M184" i="6"/>
  <c r="L186" i="6"/>
  <c r="L188" i="6" s="1"/>
  <c r="L177" i="6"/>
  <c r="L179" i="6" s="1"/>
  <c r="M175" i="6"/>
  <c r="N176" i="6"/>
  <c r="N62" i="6"/>
  <c r="M63" i="6"/>
  <c r="M65" i="6" s="1"/>
  <c r="R48" i="6"/>
  <c r="R60" i="6"/>
  <c r="M51" i="6"/>
  <c r="M53" i="6" s="1"/>
  <c r="N50" i="6"/>
  <c r="P17" i="6"/>
  <c r="P18" i="6" s="1"/>
  <c r="P19" i="6" s="1"/>
  <c r="O18" i="6"/>
  <c r="O19" i="6" s="1"/>
  <c r="N38" i="6"/>
  <c r="N27" i="6"/>
  <c r="G3" i="7" l="1"/>
  <c r="B143" i="6"/>
  <c r="G11" i="7"/>
  <c r="N184" i="6"/>
  <c r="M186" i="6"/>
  <c r="M188" i="6" s="1"/>
  <c r="O185" i="6"/>
  <c r="O176" i="6"/>
  <c r="N175" i="6"/>
  <c r="M177" i="6"/>
  <c r="M179" i="6" s="1"/>
  <c r="O50" i="6"/>
  <c r="N51" i="6"/>
  <c r="N53" i="6" s="1"/>
  <c r="S60" i="6"/>
  <c r="N63" i="6"/>
  <c r="N65" i="6" s="1"/>
  <c r="O62" i="6"/>
  <c r="O38" i="6"/>
  <c r="O27" i="6"/>
  <c r="P27" i="6"/>
  <c r="P38" i="6"/>
  <c r="C29" i="6" l="1"/>
  <c r="C30" i="6" s="1"/>
  <c r="G5" i="7"/>
  <c r="N186" i="6"/>
  <c r="N188" i="6" s="1"/>
  <c r="O184" i="6"/>
  <c r="P185" i="6"/>
  <c r="O175" i="6"/>
  <c r="N177" i="6"/>
  <c r="N179" i="6" s="1"/>
  <c r="P176" i="6"/>
  <c r="C40" i="6"/>
  <c r="C41" i="6" s="1"/>
  <c r="T60" i="6"/>
  <c r="O63" i="6"/>
  <c r="O65" i="6" s="1"/>
  <c r="P62" i="6"/>
  <c r="O51" i="6"/>
  <c r="O53" i="6" s="1"/>
  <c r="P50" i="6"/>
  <c r="E151" i="6" l="1"/>
  <c r="G151" i="6"/>
  <c r="H151" i="6" s="1"/>
  <c r="H152" i="6" s="1"/>
  <c r="P184" i="6"/>
  <c r="O186" i="6"/>
  <c r="O188" i="6" s="1"/>
  <c r="Q185" i="6"/>
  <c r="P175" i="6"/>
  <c r="P177" i="6" s="1"/>
  <c r="P179" i="6" s="1"/>
  <c r="O177" i="6"/>
  <c r="O179" i="6" s="1"/>
  <c r="P51" i="6"/>
  <c r="P53" i="6" s="1"/>
  <c r="Q50" i="6"/>
  <c r="Q62" i="6"/>
  <c r="P63" i="6"/>
  <c r="P65" i="6" s="1"/>
  <c r="U60" i="6"/>
  <c r="F181" i="6" l="1"/>
  <c r="B152" i="6" s="1"/>
  <c r="P186" i="6"/>
  <c r="P188" i="6" s="1"/>
  <c r="Q184" i="6"/>
  <c r="R185" i="6"/>
  <c r="Q63" i="6"/>
  <c r="Q65" i="6" s="1"/>
  <c r="R62" i="6"/>
  <c r="Q51" i="6"/>
  <c r="Q53" i="6" s="1"/>
  <c r="R50" i="6"/>
  <c r="B153" i="6" l="1"/>
  <c r="C153" i="6" s="1"/>
  <c r="E152" i="6"/>
  <c r="C152" i="6"/>
  <c r="S185" i="6"/>
  <c r="Q186" i="6"/>
  <c r="Q188" i="6" s="1"/>
  <c r="R184" i="6"/>
  <c r="S50" i="6"/>
  <c r="R51" i="6"/>
  <c r="R53" i="6" s="1"/>
  <c r="S62" i="6"/>
  <c r="R63" i="6"/>
  <c r="R65" i="6" s="1"/>
  <c r="E153" i="6" l="1"/>
  <c r="F152" i="6"/>
  <c r="S184" i="6"/>
  <c r="R186" i="6"/>
  <c r="R188" i="6" s="1"/>
  <c r="T185" i="6"/>
  <c r="T62" i="6"/>
  <c r="S63" i="6"/>
  <c r="S65" i="6" s="1"/>
  <c r="T50" i="6"/>
  <c r="S51" i="6"/>
  <c r="U185" i="6" l="1"/>
  <c r="T184" i="6"/>
  <c r="S186" i="6"/>
  <c r="S188" i="6" s="1"/>
  <c r="T51" i="6"/>
  <c r="T48" i="6"/>
  <c r="S53" i="6"/>
  <c r="T63" i="6"/>
  <c r="T65" i="6" s="1"/>
  <c r="U62" i="6"/>
  <c r="U63" i="6" s="1"/>
  <c r="U65" i="6" s="1"/>
  <c r="C67" i="6" l="1"/>
  <c r="C68" i="6" s="1"/>
  <c r="B72" i="6" s="1"/>
  <c r="U184" i="6"/>
  <c r="U186" i="6" s="1"/>
  <c r="U188" i="6" s="1"/>
  <c r="T186" i="6"/>
  <c r="T188" i="6" s="1"/>
  <c r="V185" i="6"/>
  <c r="V188" i="6" s="1"/>
  <c r="U48" i="6"/>
  <c r="T53" i="6"/>
  <c r="U50" i="6"/>
  <c r="F190" i="6" l="1"/>
  <c r="B154" i="6" s="1"/>
  <c r="U51" i="6"/>
  <c r="U53" i="6" s="1"/>
  <c r="V50" i="6"/>
  <c r="V48" i="6"/>
  <c r="C154" i="6" l="1"/>
  <c r="B155" i="6"/>
  <c r="W48" i="6"/>
  <c r="V51" i="6"/>
  <c r="V53" i="6" s="1"/>
  <c r="W50" i="6"/>
  <c r="E155" i="6" l="1"/>
  <c r="C155" i="6"/>
  <c r="W51" i="6"/>
  <c r="W53" i="6" s="1"/>
  <c r="X50" i="6"/>
  <c r="X48" i="6"/>
  <c r="Y48" i="6" l="1"/>
  <c r="Y50" i="6"/>
  <c r="X51" i="6"/>
  <c r="X53" i="6" s="1"/>
  <c r="Y51" i="6" l="1"/>
  <c r="Y53" i="6" s="1"/>
  <c r="Z50" i="6"/>
  <c r="Z48" i="6"/>
  <c r="AA50" i="6" l="1"/>
  <c r="Z51" i="6"/>
  <c r="Z53" i="6" s="1"/>
  <c r="C55" i="6" s="1"/>
  <c r="C56" i="6" l="1"/>
  <c r="B71" i="6" s="1"/>
  <c r="E154" i="6"/>
  <c r="E156" i="6" l="1"/>
  <c r="F157" i="6"/>
  <c r="F158" i="6" s="1"/>
  <c r="B159" i="6"/>
  <c r="B158" i="6" l="1"/>
  <c r="B160" i="6"/>
  <c r="B178" i="5" l="1"/>
  <c r="H224" i="5"/>
  <c r="G224" i="5"/>
  <c r="F224" i="5"/>
  <c r="L221" i="5"/>
  <c r="M221" i="5" s="1"/>
  <c r="I221" i="5"/>
  <c r="I224" i="5" s="1"/>
  <c r="F220" i="5"/>
  <c r="G220" i="5" s="1"/>
  <c r="H220" i="5" s="1"/>
  <c r="I220" i="5" s="1"/>
  <c r="G219" i="5"/>
  <c r="H219" i="5" s="1"/>
  <c r="I219" i="5" s="1"/>
  <c r="J219" i="5" s="1"/>
  <c r="K219" i="5" s="1"/>
  <c r="L219" i="5" s="1"/>
  <c r="M219" i="5" s="1"/>
  <c r="N219" i="5" s="1"/>
  <c r="O219" i="5" s="1"/>
  <c r="P219" i="5" s="1"/>
  <c r="Q219" i="5" s="1"/>
  <c r="R219" i="5" s="1"/>
  <c r="S219" i="5" s="1"/>
  <c r="T219" i="5" s="1"/>
  <c r="U219" i="5" s="1"/>
  <c r="V219" i="5" s="1"/>
  <c r="W219" i="5" s="1"/>
  <c r="X219" i="5" s="1"/>
  <c r="Y219" i="5" s="1"/>
  <c r="Z219" i="5" s="1"/>
  <c r="V211" i="5"/>
  <c r="F209" i="5"/>
  <c r="F211" i="5" s="1"/>
  <c r="F213" i="5" s="1"/>
  <c r="G208" i="5"/>
  <c r="H208" i="5" s="1"/>
  <c r="I208" i="5" s="1"/>
  <c r="J208" i="5" s="1"/>
  <c r="K208" i="5" s="1"/>
  <c r="L208" i="5" s="1"/>
  <c r="M208" i="5" s="1"/>
  <c r="N208" i="5" s="1"/>
  <c r="O208" i="5" s="1"/>
  <c r="P208" i="5" s="1"/>
  <c r="Q208" i="5" s="1"/>
  <c r="R208" i="5" s="1"/>
  <c r="S208" i="5" s="1"/>
  <c r="T208" i="5" s="1"/>
  <c r="U208" i="5" s="1"/>
  <c r="V208" i="5" s="1"/>
  <c r="F200" i="5"/>
  <c r="G200" i="5" s="1"/>
  <c r="G199" i="5"/>
  <c r="H199" i="5" s="1"/>
  <c r="I199" i="5" s="1"/>
  <c r="J199" i="5" s="1"/>
  <c r="K199" i="5" s="1"/>
  <c r="L199" i="5" s="1"/>
  <c r="M199" i="5" s="1"/>
  <c r="N199" i="5" s="1"/>
  <c r="O199" i="5" s="1"/>
  <c r="P199" i="5" s="1"/>
  <c r="G193" i="5"/>
  <c r="H193" i="5" s="1"/>
  <c r="I193" i="5" s="1"/>
  <c r="J193" i="5" s="1"/>
  <c r="K193" i="5" s="1"/>
  <c r="L193" i="5" s="1"/>
  <c r="M193" i="5" s="1"/>
  <c r="N193" i="5" s="1"/>
  <c r="G192" i="5"/>
  <c r="H192" i="5" s="1"/>
  <c r="I192" i="5" s="1"/>
  <c r="J192" i="5" s="1"/>
  <c r="K192" i="5" s="1"/>
  <c r="L192" i="5" s="1"/>
  <c r="M192" i="5" s="1"/>
  <c r="N192" i="5" s="1"/>
  <c r="O192" i="5" s="1"/>
  <c r="P192" i="5" s="1"/>
  <c r="Q192" i="5" s="1"/>
  <c r="R192" i="5" s="1"/>
  <c r="S192" i="5" s="1"/>
  <c r="S195" i="5" s="1"/>
  <c r="G191" i="5"/>
  <c r="H191" i="5" s="1"/>
  <c r="I191" i="5" s="1"/>
  <c r="J191" i="5" s="1"/>
  <c r="K191" i="5" s="1"/>
  <c r="L191" i="5" s="1"/>
  <c r="M191" i="5" s="1"/>
  <c r="N191" i="5" s="1"/>
  <c r="O191" i="5" s="1"/>
  <c r="P191" i="5" s="1"/>
  <c r="Q191" i="5" s="1"/>
  <c r="G190" i="5"/>
  <c r="H190" i="5" s="1"/>
  <c r="I190" i="5" s="1"/>
  <c r="J190" i="5" s="1"/>
  <c r="K190" i="5" s="1"/>
  <c r="L190" i="5" s="1"/>
  <c r="M190" i="5" s="1"/>
  <c r="N190" i="5" s="1"/>
  <c r="O190" i="5" s="1"/>
  <c r="P190" i="5" s="1"/>
  <c r="G189" i="5"/>
  <c r="H189" i="5" s="1"/>
  <c r="I189" i="5" s="1"/>
  <c r="J189" i="5" s="1"/>
  <c r="K189" i="5" s="1"/>
  <c r="L189" i="5" s="1"/>
  <c r="M189" i="5" s="1"/>
  <c r="N189" i="5" s="1"/>
  <c r="O189" i="5" s="1"/>
  <c r="G188" i="5"/>
  <c r="H188" i="5" s="1"/>
  <c r="I188" i="5" s="1"/>
  <c r="J188" i="5" s="1"/>
  <c r="K188" i="5" s="1"/>
  <c r="L188" i="5" s="1"/>
  <c r="M188" i="5" s="1"/>
  <c r="N188" i="5" s="1"/>
  <c r="G187" i="5"/>
  <c r="H187" i="5" s="1"/>
  <c r="I187" i="5" s="1"/>
  <c r="J187" i="5" s="1"/>
  <c r="K187" i="5" s="1"/>
  <c r="L187" i="5" s="1"/>
  <c r="M187" i="5" s="1"/>
  <c r="G186" i="5"/>
  <c r="H186" i="5" s="1"/>
  <c r="I186" i="5" s="1"/>
  <c r="J186" i="5" s="1"/>
  <c r="K186" i="5" s="1"/>
  <c r="L186" i="5" s="1"/>
  <c r="G185" i="5"/>
  <c r="H185" i="5" s="1"/>
  <c r="I185" i="5" s="1"/>
  <c r="J185" i="5" s="1"/>
  <c r="K185" i="5" s="1"/>
  <c r="G184" i="5"/>
  <c r="G183" i="5"/>
  <c r="H183" i="5" s="1"/>
  <c r="I183" i="5" s="1"/>
  <c r="J183" i="5" s="1"/>
  <c r="G182" i="5"/>
  <c r="H182" i="5" s="1"/>
  <c r="I182" i="5" s="1"/>
  <c r="G181" i="5"/>
  <c r="H181" i="5" s="1"/>
  <c r="H180" i="5"/>
  <c r="I180" i="5" s="1"/>
  <c r="J180" i="5" s="1"/>
  <c r="K180" i="5" s="1"/>
  <c r="L180" i="5" s="1"/>
  <c r="M180" i="5" s="1"/>
  <c r="N180" i="5" s="1"/>
  <c r="O180" i="5" s="1"/>
  <c r="P180" i="5" s="1"/>
  <c r="Q180" i="5" s="1"/>
  <c r="R180" i="5" s="1"/>
  <c r="S180" i="5" s="1"/>
  <c r="I12" i="5"/>
  <c r="J12" i="5" s="1"/>
  <c r="K12" i="5" s="1"/>
  <c r="L12" i="5" s="1"/>
  <c r="M12" i="5" s="1"/>
  <c r="N12" i="5" s="1"/>
  <c r="O12" i="5" s="1"/>
  <c r="P12" i="5" s="1"/>
  <c r="Q12" i="5" s="1"/>
  <c r="R12" i="5" s="1"/>
  <c r="S12" i="5" s="1"/>
  <c r="T12" i="5" s="1"/>
  <c r="U12" i="5" s="1"/>
  <c r="V12" i="5" s="1"/>
  <c r="W12" i="5" s="1"/>
  <c r="X12" i="5" s="1"/>
  <c r="Y12" i="5" s="1"/>
  <c r="Z12" i="5" s="1"/>
  <c r="AA12" i="5" s="1"/>
  <c r="AB12" i="5" s="1"/>
  <c r="AC12" i="5" s="1"/>
  <c r="AD12" i="5" s="1"/>
  <c r="AE12" i="5" s="1"/>
  <c r="AF12" i="5" s="1"/>
  <c r="B174" i="5"/>
  <c r="B17" i="5"/>
  <c r="F41" i="5" s="1"/>
  <c r="S151" i="5"/>
  <c r="S149" i="5"/>
  <c r="S147" i="5"/>
  <c r="S145" i="5"/>
  <c r="S143" i="5"/>
  <c r="S141" i="5"/>
  <c r="S139" i="5"/>
  <c r="S137" i="5"/>
  <c r="S135" i="5"/>
  <c r="S133" i="5"/>
  <c r="S131" i="5"/>
  <c r="S129" i="5"/>
  <c r="S127" i="5"/>
  <c r="S115" i="5"/>
  <c r="D115" i="5"/>
  <c r="D151" i="5" s="1"/>
  <c r="S113" i="5"/>
  <c r="D113" i="5"/>
  <c r="D149" i="5" s="1"/>
  <c r="S111" i="5"/>
  <c r="D111" i="5"/>
  <c r="D147" i="5" s="1"/>
  <c r="S109" i="5"/>
  <c r="D109" i="5"/>
  <c r="D145" i="5" s="1"/>
  <c r="S107" i="5"/>
  <c r="D107" i="5"/>
  <c r="D143" i="5" s="1"/>
  <c r="S105" i="5"/>
  <c r="D105" i="5"/>
  <c r="D141" i="5" s="1"/>
  <c r="S103" i="5"/>
  <c r="D103" i="5"/>
  <c r="D139" i="5" s="1"/>
  <c r="S101" i="5"/>
  <c r="D101" i="5"/>
  <c r="D137" i="5" s="1"/>
  <c r="S99" i="5"/>
  <c r="D99" i="5"/>
  <c r="D135" i="5" s="1"/>
  <c r="S97" i="5"/>
  <c r="D97" i="5"/>
  <c r="D133" i="5" s="1"/>
  <c r="S95" i="5"/>
  <c r="D95" i="5"/>
  <c r="D131" i="5" s="1"/>
  <c r="S93" i="5"/>
  <c r="D93" i="5"/>
  <c r="D129" i="5" s="1"/>
  <c r="S91" i="5"/>
  <c r="D91" i="5"/>
  <c r="AF81" i="5"/>
  <c r="AF151" i="5" s="1"/>
  <c r="AE81" i="5"/>
  <c r="AE151" i="5" s="1"/>
  <c r="AD81" i="5"/>
  <c r="AD151" i="5" s="1"/>
  <c r="AC81" i="5"/>
  <c r="AC151" i="5" s="1"/>
  <c r="AB81" i="5"/>
  <c r="AB151" i="5" s="1"/>
  <c r="AA81" i="5"/>
  <c r="AA151" i="5" s="1"/>
  <c r="Z81" i="5"/>
  <c r="Z151" i="5" s="1"/>
  <c r="Y81" i="5"/>
  <c r="Y151" i="5" s="1"/>
  <c r="X81" i="5"/>
  <c r="X151" i="5" s="1"/>
  <c r="W81" i="5"/>
  <c r="W151" i="5" s="1"/>
  <c r="V81" i="5"/>
  <c r="V151" i="5" s="1"/>
  <c r="U81" i="5"/>
  <c r="U151" i="5" s="1"/>
  <c r="T81" i="5"/>
  <c r="T151" i="5" s="1"/>
  <c r="Q81" i="5"/>
  <c r="R81" i="5" s="1"/>
  <c r="R45" i="5" s="1"/>
  <c r="AF79" i="5"/>
  <c r="AF149" i="5" s="1"/>
  <c r="AE79" i="5"/>
  <c r="AE149" i="5" s="1"/>
  <c r="AD79" i="5"/>
  <c r="AD149" i="5" s="1"/>
  <c r="AC79" i="5"/>
  <c r="AC149" i="5" s="1"/>
  <c r="AB79" i="5"/>
  <c r="AB149" i="5" s="1"/>
  <c r="AA79" i="5"/>
  <c r="AA149" i="5" s="1"/>
  <c r="Z79" i="5"/>
  <c r="Z149" i="5" s="1"/>
  <c r="Y79" i="5"/>
  <c r="Y149" i="5" s="1"/>
  <c r="X79" i="5"/>
  <c r="X149" i="5" s="1"/>
  <c r="W79" i="5"/>
  <c r="W149" i="5" s="1"/>
  <c r="V79" i="5"/>
  <c r="V149" i="5" s="1"/>
  <c r="U79" i="5"/>
  <c r="U149" i="5" s="1"/>
  <c r="T79" i="5"/>
  <c r="T149" i="5" s="1"/>
  <c r="H79" i="5"/>
  <c r="AF77" i="5"/>
  <c r="AF147" i="5" s="1"/>
  <c r="AE77" i="5"/>
  <c r="AE147" i="5" s="1"/>
  <c r="AD77" i="5"/>
  <c r="AD147" i="5" s="1"/>
  <c r="AC77" i="5"/>
  <c r="AC147" i="5" s="1"/>
  <c r="AB77" i="5"/>
  <c r="AB147" i="5" s="1"/>
  <c r="AA77" i="5"/>
  <c r="AA147" i="5" s="1"/>
  <c r="Z77" i="5"/>
  <c r="Z147" i="5" s="1"/>
  <c r="Y77" i="5"/>
  <c r="Y147" i="5" s="1"/>
  <c r="X77" i="5"/>
  <c r="X147" i="5" s="1"/>
  <c r="W77" i="5"/>
  <c r="W147" i="5" s="1"/>
  <c r="V77" i="5"/>
  <c r="V147" i="5" s="1"/>
  <c r="U77" i="5"/>
  <c r="U147" i="5" s="1"/>
  <c r="T77" i="5"/>
  <c r="T147" i="5" s="1"/>
  <c r="N77" i="5"/>
  <c r="AF75" i="5"/>
  <c r="AF145" i="5" s="1"/>
  <c r="AE75" i="5"/>
  <c r="AE145" i="5" s="1"/>
  <c r="AD75" i="5"/>
  <c r="AD145" i="5" s="1"/>
  <c r="AC75" i="5"/>
  <c r="AC145" i="5" s="1"/>
  <c r="AB75" i="5"/>
  <c r="AB145" i="5" s="1"/>
  <c r="AA75" i="5"/>
  <c r="AA145" i="5" s="1"/>
  <c r="Z75" i="5"/>
  <c r="Z145" i="5" s="1"/>
  <c r="Y75" i="5"/>
  <c r="Y145" i="5" s="1"/>
  <c r="X75" i="5"/>
  <c r="X145" i="5" s="1"/>
  <c r="W75" i="5"/>
  <c r="W145" i="5" s="1"/>
  <c r="V75" i="5"/>
  <c r="V145" i="5" s="1"/>
  <c r="U75" i="5"/>
  <c r="U145" i="5" s="1"/>
  <c r="T75" i="5"/>
  <c r="T145" i="5" s="1"/>
  <c r="Q75" i="5"/>
  <c r="R75" i="5" s="1"/>
  <c r="P75" i="5"/>
  <c r="AF73" i="5"/>
  <c r="AF143" i="5" s="1"/>
  <c r="AE73" i="5"/>
  <c r="AE143" i="5" s="1"/>
  <c r="AD73" i="5"/>
  <c r="AD143" i="5" s="1"/>
  <c r="AC73" i="5"/>
  <c r="AC143" i="5" s="1"/>
  <c r="AB73" i="5"/>
  <c r="AB143" i="5" s="1"/>
  <c r="AA73" i="5"/>
  <c r="AA143" i="5" s="1"/>
  <c r="Z73" i="5"/>
  <c r="Z143" i="5" s="1"/>
  <c r="Y73" i="5"/>
  <c r="Y143" i="5" s="1"/>
  <c r="X73" i="5"/>
  <c r="X143" i="5" s="1"/>
  <c r="W73" i="5"/>
  <c r="W143" i="5" s="1"/>
  <c r="V73" i="5"/>
  <c r="V143" i="5" s="1"/>
  <c r="U73" i="5"/>
  <c r="U143" i="5" s="1"/>
  <c r="T73" i="5"/>
  <c r="T143" i="5" s="1"/>
  <c r="H73" i="5"/>
  <c r="E73" i="5"/>
  <c r="AF71" i="5"/>
  <c r="AF141" i="5" s="1"/>
  <c r="AE71" i="5"/>
  <c r="AE141" i="5" s="1"/>
  <c r="AD71" i="5"/>
  <c r="AD141" i="5" s="1"/>
  <c r="AC71" i="5"/>
  <c r="AC141" i="5" s="1"/>
  <c r="AB71" i="5"/>
  <c r="AB141" i="5" s="1"/>
  <c r="AA71" i="5"/>
  <c r="AA141" i="5" s="1"/>
  <c r="Z71" i="5"/>
  <c r="Z141" i="5" s="1"/>
  <c r="Y71" i="5"/>
  <c r="Y141" i="5" s="1"/>
  <c r="X71" i="5"/>
  <c r="X141" i="5" s="1"/>
  <c r="W71" i="5"/>
  <c r="W141" i="5" s="1"/>
  <c r="V71" i="5"/>
  <c r="V141" i="5" s="1"/>
  <c r="U71" i="5"/>
  <c r="U141" i="5" s="1"/>
  <c r="T71" i="5"/>
  <c r="T141" i="5" s="1"/>
  <c r="AF69" i="5"/>
  <c r="AF139" i="5" s="1"/>
  <c r="AE69" i="5"/>
  <c r="AE139" i="5" s="1"/>
  <c r="AD69" i="5"/>
  <c r="AD139" i="5" s="1"/>
  <c r="AC69" i="5"/>
  <c r="AC139" i="5" s="1"/>
  <c r="AB69" i="5"/>
  <c r="AB139" i="5" s="1"/>
  <c r="AA69" i="5"/>
  <c r="AA139" i="5" s="1"/>
  <c r="Z69" i="5"/>
  <c r="Z139" i="5" s="1"/>
  <c r="Y69" i="5"/>
  <c r="Y139" i="5" s="1"/>
  <c r="X69" i="5"/>
  <c r="X139" i="5" s="1"/>
  <c r="W69" i="5"/>
  <c r="W139" i="5" s="1"/>
  <c r="V69" i="5"/>
  <c r="V139" i="5" s="1"/>
  <c r="U69" i="5"/>
  <c r="U139" i="5" s="1"/>
  <c r="T69" i="5"/>
  <c r="T139" i="5" s="1"/>
  <c r="L69" i="5"/>
  <c r="AF67" i="5"/>
  <c r="AF137" i="5" s="1"/>
  <c r="AE67" i="5"/>
  <c r="AE137" i="5" s="1"/>
  <c r="AD67" i="5"/>
  <c r="AD137" i="5" s="1"/>
  <c r="AC67" i="5"/>
  <c r="AC137" i="5" s="1"/>
  <c r="AB67" i="5"/>
  <c r="AB137" i="5" s="1"/>
  <c r="AA67" i="5"/>
  <c r="AA137" i="5" s="1"/>
  <c r="Z67" i="5"/>
  <c r="Z137" i="5" s="1"/>
  <c r="Y67" i="5"/>
  <c r="Y137" i="5" s="1"/>
  <c r="X67" i="5"/>
  <c r="X137" i="5" s="1"/>
  <c r="W67" i="5"/>
  <c r="W137" i="5" s="1"/>
  <c r="V67" i="5"/>
  <c r="V137" i="5" s="1"/>
  <c r="U67" i="5"/>
  <c r="U137" i="5" s="1"/>
  <c r="T67" i="5"/>
  <c r="T137" i="5" s="1"/>
  <c r="L67" i="5"/>
  <c r="M67" i="5" s="1"/>
  <c r="N67" i="5" s="1"/>
  <c r="O67" i="5" s="1"/>
  <c r="P67" i="5" s="1"/>
  <c r="Q67" i="5" s="1"/>
  <c r="R67" i="5" s="1"/>
  <c r="AF65" i="5"/>
  <c r="AF135" i="5" s="1"/>
  <c r="AE65" i="5"/>
  <c r="AE135" i="5" s="1"/>
  <c r="AD65" i="5"/>
  <c r="AD135" i="5" s="1"/>
  <c r="AC65" i="5"/>
  <c r="AC135" i="5" s="1"/>
  <c r="AB65" i="5"/>
  <c r="AB135" i="5" s="1"/>
  <c r="AA65" i="5"/>
  <c r="AA135" i="5" s="1"/>
  <c r="Z65" i="5"/>
  <c r="Z135" i="5" s="1"/>
  <c r="Y65" i="5"/>
  <c r="Y135" i="5" s="1"/>
  <c r="X65" i="5"/>
  <c r="X135" i="5" s="1"/>
  <c r="W65" i="5"/>
  <c r="W135" i="5" s="1"/>
  <c r="V65" i="5"/>
  <c r="V135" i="5" s="1"/>
  <c r="U65" i="5"/>
  <c r="U135" i="5" s="1"/>
  <c r="T65" i="5"/>
  <c r="T135" i="5" s="1"/>
  <c r="L65" i="5"/>
  <c r="M65" i="5" s="1"/>
  <c r="N65" i="5" s="1"/>
  <c r="O65" i="5" s="1"/>
  <c r="P65" i="5" s="1"/>
  <c r="Q65" i="5" s="1"/>
  <c r="R65" i="5" s="1"/>
  <c r="AF63" i="5"/>
  <c r="AF133" i="5" s="1"/>
  <c r="AE63" i="5"/>
  <c r="AE133" i="5" s="1"/>
  <c r="AD63" i="5"/>
  <c r="AD133" i="5" s="1"/>
  <c r="AC63" i="5"/>
  <c r="AC133" i="5" s="1"/>
  <c r="AB63" i="5"/>
  <c r="AB133" i="5" s="1"/>
  <c r="AA63" i="5"/>
  <c r="AA133" i="5" s="1"/>
  <c r="Z63" i="5"/>
  <c r="Z133" i="5" s="1"/>
  <c r="Y63" i="5"/>
  <c r="Y133" i="5" s="1"/>
  <c r="X63" i="5"/>
  <c r="X133" i="5" s="1"/>
  <c r="W63" i="5"/>
  <c r="W133" i="5" s="1"/>
  <c r="V63" i="5"/>
  <c r="V133" i="5" s="1"/>
  <c r="U63" i="5"/>
  <c r="U133" i="5" s="1"/>
  <c r="T63" i="5"/>
  <c r="T133" i="5" s="1"/>
  <c r="L63" i="5"/>
  <c r="AF61" i="5"/>
  <c r="AF131" i="5" s="1"/>
  <c r="AE61" i="5"/>
  <c r="AE131" i="5" s="1"/>
  <c r="AD61" i="5"/>
  <c r="AD131" i="5" s="1"/>
  <c r="AC61" i="5"/>
  <c r="AC131" i="5" s="1"/>
  <c r="AB61" i="5"/>
  <c r="AB131" i="5" s="1"/>
  <c r="AA61" i="5"/>
  <c r="AA131" i="5" s="1"/>
  <c r="Z61" i="5"/>
  <c r="Z131" i="5" s="1"/>
  <c r="Y61" i="5"/>
  <c r="Y131" i="5" s="1"/>
  <c r="X61" i="5"/>
  <c r="X131" i="5" s="1"/>
  <c r="W61" i="5"/>
  <c r="W131" i="5" s="1"/>
  <c r="V61" i="5"/>
  <c r="V131" i="5" s="1"/>
  <c r="U61" i="5"/>
  <c r="U131" i="5" s="1"/>
  <c r="T61" i="5"/>
  <c r="T131" i="5" s="1"/>
  <c r="H61" i="5"/>
  <c r="AF59" i="5"/>
  <c r="AF129" i="5" s="1"/>
  <c r="AE59" i="5"/>
  <c r="AE129" i="5" s="1"/>
  <c r="AD59" i="5"/>
  <c r="AD129" i="5" s="1"/>
  <c r="AC59" i="5"/>
  <c r="AC129" i="5" s="1"/>
  <c r="AB59" i="5"/>
  <c r="AB129" i="5" s="1"/>
  <c r="AA59" i="5"/>
  <c r="AA129" i="5" s="1"/>
  <c r="Z59" i="5"/>
  <c r="Z129" i="5" s="1"/>
  <c r="Y59" i="5"/>
  <c r="Y129" i="5" s="1"/>
  <c r="X59" i="5"/>
  <c r="X129" i="5" s="1"/>
  <c r="W59" i="5"/>
  <c r="W129" i="5" s="1"/>
  <c r="V59" i="5"/>
  <c r="V129" i="5" s="1"/>
  <c r="U59" i="5"/>
  <c r="U129" i="5" s="1"/>
  <c r="T59" i="5"/>
  <c r="T129" i="5" s="1"/>
  <c r="L59" i="5"/>
  <c r="M59" i="5" s="1"/>
  <c r="AF57" i="5"/>
  <c r="AF127" i="5" s="1"/>
  <c r="AE57" i="5"/>
  <c r="AE127" i="5" s="1"/>
  <c r="AD57" i="5"/>
  <c r="AD127" i="5" s="1"/>
  <c r="AC57" i="5"/>
  <c r="AC127" i="5" s="1"/>
  <c r="AB57" i="5"/>
  <c r="AB127" i="5" s="1"/>
  <c r="AA57" i="5"/>
  <c r="AA127" i="5" s="1"/>
  <c r="Z57" i="5"/>
  <c r="Z127" i="5" s="1"/>
  <c r="Y57" i="5"/>
  <c r="Y127" i="5" s="1"/>
  <c r="X57" i="5"/>
  <c r="X127" i="5" s="1"/>
  <c r="W57" i="5"/>
  <c r="W127" i="5" s="1"/>
  <c r="V57" i="5"/>
  <c r="V127" i="5" s="1"/>
  <c r="U57" i="5"/>
  <c r="U127" i="5" s="1"/>
  <c r="T57" i="5"/>
  <c r="T127" i="5" s="1"/>
  <c r="L57" i="5"/>
  <c r="M57" i="5" s="1"/>
  <c r="N57" i="5" s="1"/>
  <c r="O57" i="5" s="1"/>
  <c r="P57" i="5" s="1"/>
  <c r="Q57" i="5" s="1"/>
  <c r="R57" i="5" s="1"/>
  <c r="AF45" i="5"/>
  <c r="AF115" i="5" s="1"/>
  <c r="AE45" i="5"/>
  <c r="AE115" i="5" s="1"/>
  <c r="AD45" i="5"/>
  <c r="AD115" i="5" s="1"/>
  <c r="AC45" i="5"/>
  <c r="AC115" i="5" s="1"/>
  <c r="AB45" i="5"/>
  <c r="AB115" i="5" s="1"/>
  <c r="AA45" i="5"/>
  <c r="AA115" i="5" s="1"/>
  <c r="Z45" i="5"/>
  <c r="Z115" i="5" s="1"/>
  <c r="Y45" i="5"/>
  <c r="Y115" i="5" s="1"/>
  <c r="X45" i="5"/>
  <c r="X115" i="5" s="1"/>
  <c r="W45" i="5"/>
  <c r="W115" i="5" s="1"/>
  <c r="V45" i="5"/>
  <c r="V115" i="5" s="1"/>
  <c r="U45" i="5"/>
  <c r="U115" i="5" s="1"/>
  <c r="T45" i="5"/>
  <c r="T115" i="5" s="1"/>
  <c r="AF43" i="5"/>
  <c r="AF113" i="5" s="1"/>
  <c r="AE43" i="5"/>
  <c r="AE113" i="5" s="1"/>
  <c r="AD43" i="5"/>
  <c r="AD113" i="5" s="1"/>
  <c r="AC43" i="5"/>
  <c r="AC113" i="5" s="1"/>
  <c r="AB43" i="5"/>
  <c r="AB113" i="5" s="1"/>
  <c r="AA43" i="5"/>
  <c r="AA113" i="5" s="1"/>
  <c r="Z43" i="5"/>
  <c r="Z113" i="5" s="1"/>
  <c r="Y43" i="5"/>
  <c r="Y113" i="5" s="1"/>
  <c r="X43" i="5"/>
  <c r="X113" i="5" s="1"/>
  <c r="W43" i="5"/>
  <c r="W113" i="5" s="1"/>
  <c r="V43" i="5"/>
  <c r="V113" i="5" s="1"/>
  <c r="U43" i="5"/>
  <c r="U113" i="5" s="1"/>
  <c r="T43" i="5"/>
  <c r="T113" i="5" s="1"/>
  <c r="Q43" i="5"/>
  <c r="Q79" i="5" s="1"/>
  <c r="R79" i="5" s="1"/>
  <c r="AF41" i="5"/>
  <c r="AF111" i="5" s="1"/>
  <c r="AE41" i="5"/>
  <c r="AE111" i="5" s="1"/>
  <c r="AD41" i="5"/>
  <c r="AD111" i="5" s="1"/>
  <c r="AC41" i="5"/>
  <c r="AC111" i="5" s="1"/>
  <c r="AB41" i="5"/>
  <c r="AB111" i="5" s="1"/>
  <c r="AA41" i="5"/>
  <c r="AA111" i="5" s="1"/>
  <c r="Z41" i="5"/>
  <c r="Z111" i="5" s="1"/>
  <c r="Y41" i="5"/>
  <c r="Y111" i="5" s="1"/>
  <c r="X41" i="5"/>
  <c r="X111" i="5" s="1"/>
  <c r="W41" i="5"/>
  <c r="W111" i="5" s="1"/>
  <c r="V41" i="5"/>
  <c r="V111" i="5" s="1"/>
  <c r="U41" i="5"/>
  <c r="U111" i="5" s="1"/>
  <c r="T41" i="5"/>
  <c r="T111" i="5" s="1"/>
  <c r="N41" i="5"/>
  <c r="O41" i="5" s="1"/>
  <c r="AF39" i="5"/>
  <c r="AF109" i="5" s="1"/>
  <c r="AE39" i="5"/>
  <c r="AE109" i="5" s="1"/>
  <c r="AD39" i="5"/>
  <c r="AD109" i="5" s="1"/>
  <c r="AC39" i="5"/>
  <c r="AC109" i="5" s="1"/>
  <c r="AB39" i="5"/>
  <c r="AB109" i="5" s="1"/>
  <c r="AA39" i="5"/>
  <c r="AA109" i="5" s="1"/>
  <c r="Z39" i="5"/>
  <c r="Z109" i="5" s="1"/>
  <c r="Y39" i="5"/>
  <c r="Y109" i="5" s="1"/>
  <c r="X39" i="5"/>
  <c r="X109" i="5" s="1"/>
  <c r="W39" i="5"/>
  <c r="W109" i="5" s="1"/>
  <c r="V39" i="5"/>
  <c r="V109" i="5" s="1"/>
  <c r="U39" i="5"/>
  <c r="U109" i="5" s="1"/>
  <c r="T39" i="5"/>
  <c r="T109" i="5" s="1"/>
  <c r="Q39" i="5"/>
  <c r="R39" i="5" s="1"/>
  <c r="P39" i="5"/>
  <c r="AF37" i="5"/>
  <c r="AF107" i="5" s="1"/>
  <c r="AE37" i="5"/>
  <c r="AE107" i="5" s="1"/>
  <c r="AD37" i="5"/>
  <c r="AD107" i="5" s="1"/>
  <c r="AC37" i="5"/>
  <c r="AC107" i="5" s="1"/>
  <c r="AB37" i="5"/>
  <c r="AB107" i="5" s="1"/>
  <c r="AA37" i="5"/>
  <c r="AA107" i="5" s="1"/>
  <c r="Z37" i="5"/>
  <c r="Z107" i="5" s="1"/>
  <c r="Y37" i="5"/>
  <c r="Y107" i="5" s="1"/>
  <c r="X37" i="5"/>
  <c r="X107" i="5" s="1"/>
  <c r="W37" i="5"/>
  <c r="W107" i="5" s="1"/>
  <c r="V37" i="5"/>
  <c r="V107" i="5" s="1"/>
  <c r="U37" i="5"/>
  <c r="U107" i="5" s="1"/>
  <c r="T37" i="5"/>
  <c r="T107" i="5" s="1"/>
  <c r="Q37" i="5"/>
  <c r="Q73" i="5" s="1"/>
  <c r="AF35" i="5"/>
  <c r="AF105" i="5" s="1"/>
  <c r="AE35" i="5"/>
  <c r="AE105" i="5" s="1"/>
  <c r="AD35" i="5"/>
  <c r="AD105" i="5" s="1"/>
  <c r="AC35" i="5"/>
  <c r="AC105" i="5" s="1"/>
  <c r="AB35" i="5"/>
  <c r="AB105" i="5" s="1"/>
  <c r="AA35" i="5"/>
  <c r="AA105" i="5" s="1"/>
  <c r="Z35" i="5"/>
  <c r="Z105" i="5" s="1"/>
  <c r="Y35" i="5"/>
  <c r="Y105" i="5" s="1"/>
  <c r="X35" i="5"/>
  <c r="X105" i="5" s="1"/>
  <c r="W35" i="5"/>
  <c r="W105" i="5" s="1"/>
  <c r="V35" i="5"/>
  <c r="V105" i="5" s="1"/>
  <c r="U35" i="5"/>
  <c r="U105" i="5" s="1"/>
  <c r="T35" i="5"/>
  <c r="T105" i="5" s="1"/>
  <c r="O35" i="5"/>
  <c r="P35" i="5" s="1"/>
  <c r="Q35" i="5" s="1"/>
  <c r="R35" i="5" s="1"/>
  <c r="AF33" i="5"/>
  <c r="AF103" i="5" s="1"/>
  <c r="AE33" i="5"/>
  <c r="AE103" i="5" s="1"/>
  <c r="AD33" i="5"/>
  <c r="AD103" i="5" s="1"/>
  <c r="AC33" i="5"/>
  <c r="AC103" i="5" s="1"/>
  <c r="AB33" i="5"/>
  <c r="AB103" i="5" s="1"/>
  <c r="AA33" i="5"/>
  <c r="AA103" i="5" s="1"/>
  <c r="Z33" i="5"/>
  <c r="Z103" i="5" s="1"/>
  <c r="Y33" i="5"/>
  <c r="Y103" i="5" s="1"/>
  <c r="X33" i="5"/>
  <c r="X103" i="5" s="1"/>
  <c r="W33" i="5"/>
  <c r="W103" i="5" s="1"/>
  <c r="V33" i="5"/>
  <c r="V103" i="5" s="1"/>
  <c r="U33" i="5"/>
  <c r="U103" i="5" s="1"/>
  <c r="T33" i="5"/>
  <c r="T103" i="5" s="1"/>
  <c r="L33" i="5"/>
  <c r="M33" i="5" s="1"/>
  <c r="N33" i="5" s="1"/>
  <c r="O33" i="5" s="1"/>
  <c r="P33" i="5" s="1"/>
  <c r="Q33" i="5" s="1"/>
  <c r="R33" i="5" s="1"/>
  <c r="AF31" i="5"/>
  <c r="AF101" i="5" s="1"/>
  <c r="AE31" i="5"/>
  <c r="AE101" i="5" s="1"/>
  <c r="AD31" i="5"/>
  <c r="AD101" i="5" s="1"/>
  <c r="AC31" i="5"/>
  <c r="AC101" i="5" s="1"/>
  <c r="AB31" i="5"/>
  <c r="AB101" i="5" s="1"/>
  <c r="AA31" i="5"/>
  <c r="AA101" i="5" s="1"/>
  <c r="Z31" i="5"/>
  <c r="Z101" i="5" s="1"/>
  <c r="Y31" i="5"/>
  <c r="Y101" i="5" s="1"/>
  <c r="X31" i="5"/>
  <c r="X101" i="5" s="1"/>
  <c r="W31" i="5"/>
  <c r="W101" i="5" s="1"/>
  <c r="V31" i="5"/>
  <c r="V101" i="5" s="1"/>
  <c r="U31" i="5"/>
  <c r="U101" i="5" s="1"/>
  <c r="T31" i="5"/>
  <c r="T101" i="5" s="1"/>
  <c r="L31" i="5"/>
  <c r="M31" i="5" s="1"/>
  <c r="AF29" i="5"/>
  <c r="AF99" i="5" s="1"/>
  <c r="AE29" i="5"/>
  <c r="AE99" i="5" s="1"/>
  <c r="AD29" i="5"/>
  <c r="AD99" i="5" s="1"/>
  <c r="AC29" i="5"/>
  <c r="AC99" i="5" s="1"/>
  <c r="AB29" i="5"/>
  <c r="AB99" i="5" s="1"/>
  <c r="AA29" i="5"/>
  <c r="AA99" i="5" s="1"/>
  <c r="Z29" i="5"/>
  <c r="Z99" i="5" s="1"/>
  <c r="Y29" i="5"/>
  <c r="Y99" i="5" s="1"/>
  <c r="X29" i="5"/>
  <c r="X99" i="5" s="1"/>
  <c r="W29" i="5"/>
  <c r="W99" i="5" s="1"/>
  <c r="V29" i="5"/>
  <c r="V99" i="5" s="1"/>
  <c r="U29" i="5"/>
  <c r="U99" i="5" s="1"/>
  <c r="T29" i="5"/>
  <c r="T99" i="5" s="1"/>
  <c r="L29" i="5"/>
  <c r="M29" i="5" s="1"/>
  <c r="N29" i="5" s="1"/>
  <c r="O29" i="5" s="1"/>
  <c r="P29" i="5" s="1"/>
  <c r="Q29" i="5" s="1"/>
  <c r="R29" i="5" s="1"/>
  <c r="AF27" i="5"/>
  <c r="AF97" i="5" s="1"/>
  <c r="AE27" i="5"/>
  <c r="AE97" i="5" s="1"/>
  <c r="AD27" i="5"/>
  <c r="AD97" i="5" s="1"/>
  <c r="AC27" i="5"/>
  <c r="AC97" i="5" s="1"/>
  <c r="AB27" i="5"/>
  <c r="AB97" i="5" s="1"/>
  <c r="AA27" i="5"/>
  <c r="AA97" i="5" s="1"/>
  <c r="Z27" i="5"/>
  <c r="Z97" i="5" s="1"/>
  <c r="Y27" i="5"/>
  <c r="Y97" i="5" s="1"/>
  <c r="X27" i="5"/>
  <c r="X97" i="5" s="1"/>
  <c r="W27" i="5"/>
  <c r="W97" i="5" s="1"/>
  <c r="V27" i="5"/>
  <c r="V97" i="5" s="1"/>
  <c r="U27" i="5"/>
  <c r="U97" i="5" s="1"/>
  <c r="T27" i="5"/>
  <c r="T97" i="5" s="1"/>
  <c r="L27" i="5"/>
  <c r="M27" i="5" s="1"/>
  <c r="N27" i="5" s="1"/>
  <c r="O27" i="5" s="1"/>
  <c r="P27" i="5" s="1"/>
  <c r="Q27" i="5" s="1"/>
  <c r="R27" i="5" s="1"/>
  <c r="AF25" i="5"/>
  <c r="AF95" i="5" s="1"/>
  <c r="AE25" i="5"/>
  <c r="AE95" i="5" s="1"/>
  <c r="AD25" i="5"/>
  <c r="AD95" i="5" s="1"/>
  <c r="AC25" i="5"/>
  <c r="AC95" i="5" s="1"/>
  <c r="AB25" i="5"/>
  <c r="AB95" i="5" s="1"/>
  <c r="AA25" i="5"/>
  <c r="AA95" i="5" s="1"/>
  <c r="Z25" i="5"/>
  <c r="Z95" i="5" s="1"/>
  <c r="Y25" i="5"/>
  <c r="Y95" i="5" s="1"/>
  <c r="X25" i="5"/>
  <c r="X95" i="5" s="1"/>
  <c r="W25" i="5"/>
  <c r="W95" i="5" s="1"/>
  <c r="V25" i="5"/>
  <c r="V95" i="5" s="1"/>
  <c r="U25" i="5"/>
  <c r="U95" i="5" s="1"/>
  <c r="T25" i="5"/>
  <c r="T95" i="5" s="1"/>
  <c r="O25" i="5"/>
  <c r="AF23" i="5"/>
  <c r="AF93" i="5" s="1"/>
  <c r="AE23" i="5"/>
  <c r="AE93" i="5" s="1"/>
  <c r="AD23" i="5"/>
  <c r="AD93" i="5" s="1"/>
  <c r="AC23" i="5"/>
  <c r="AC93" i="5" s="1"/>
  <c r="AB23" i="5"/>
  <c r="AB93" i="5" s="1"/>
  <c r="AA23" i="5"/>
  <c r="AA93" i="5" s="1"/>
  <c r="Z23" i="5"/>
  <c r="Z93" i="5" s="1"/>
  <c r="Y23" i="5"/>
  <c r="Y93" i="5" s="1"/>
  <c r="X23" i="5"/>
  <c r="X93" i="5" s="1"/>
  <c r="W23" i="5"/>
  <c r="W93" i="5" s="1"/>
  <c r="V23" i="5"/>
  <c r="V93" i="5" s="1"/>
  <c r="U23" i="5"/>
  <c r="U93" i="5" s="1"/>
  <c r="T23" i="5"/>
  <c r="T93" i="5" s="1"/>
  <c r="L23" i="5"/>
  <c r="M23" i="5" s="1"/>
  <c r="N23" i="5" s="1"/>
  <c r="O23" i="5" s="1"/>
  <c r="P23" i="5" s="1"/>
  <c r="Q23" i="5" s="1"/>
  <c r="R23" i="5" s="1"/>
  <c r="AF21" i="5"/>
  <c r="AF91" i="5" s="1"/>
  <c r="AE21" i="5"/>
  <c r="AE91" i="5" s="1"/>
  <c r="AD21" i="5"/>
  <c r="AD91" i="5" s="1"/>
  <c r="AC21" i="5"/>
  <c r="AC91" i="5" s="1"/>
  <c r="AB21" i="5"/>
  <c r="AB91" i="5" s="1"/>
  <c r="AA21" i="5"/>
  <c r="AA91" i="5" s="1"/>
  <c r="Z21" i="5"/>
  <c r="Z91" i="5" s="1"/>
  <c r="Y21" i="5"/>
  <c r="Y91" i="5" s="1"/>
  <c r="X21" i="5"/>
  <c r="X91" i="5" s="1"/>
  <c r="W21" i="5"/>
  <c r="W91" i="5" s="1"/>
  <c r="V21" i="5"/>
  <c r="V91" i="5" s="1"/>
  <c r="U21" i="5"/>
  <c r="U91" i="5" s="1"/>
  <c r="T21" i="5"/>
  <c r="T91" i="5" s="1"/>
  <c r="L21" i="5"/>
  <c r="M21" i="5" s="1"/>
  <c r="N21" i="5" s="1"/>
  <c r="S17" i="5"/>
  <c r="E169" i="5" s="1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F21" i="5" l="1"/>
  <c r="F37" i="5"/>
  <c r="Q45" i="5"/>
  <c r="O195" i="5"/>
  <c r="F202" i="5"/>
  <c r="F204" i="5" s="1"/>
  <c r="G201" i="5"/>
  <c r="F25" i="5"/>
  <c r="F23" i="5"/>
  <c r="G209" i="5"/>
  <c r="G211" i="5" s="1"/>
  <c r="L195" i="5"/>
  <c r="R43" i="5"/>
  <c r="B44" i="5" s="1"/>
  <c r="P195" i="5"/>
  <c r="B132" i="5"/>
  <c r="G195" i="5"/>
  <c r="J221" i="5"/>
  <c r="B148" i="5"/>
  <c r="G202" i="5"/>
  <c r="H201" i="5"/>
  <c r="H200" i="5" s="1"/>
  <c r="G210" i="5"/>
  <c r="N221" i="5"/>
  <c r="M195" i="5"/>
  <c r="Q195" i="5"/>
  <c r="R191" i="5"/>
  <c r="R195" i="5" s="1"/>
  <c r="N195" i="5"/>
  <c r="K195" i="5"/>
  <c r="H184" i="5"/>
  <c r="I184" i="5" s="1"/>
  <c r="J184" i="5" s="1"/>
  <c r="J195" i="5" s="1"/>
  <c r="B142" i="5"/>
  <c r="B80" i="5"/>
  <c r="B119" i="5"/>
  <c r="B146" i="5"/>
  <c r="B49" i="5"/>
  <c r="B136" i="5"/>
  <c r="F43" i="5"/>
  <c r="F45" i="5"/>
  <c r="B53" i="5"/>
  <c r="F63" i="5" s="1"/>
  <c r="B140" i="5"/>
  <c r="B134" i="5"/>
  <c r="F27" i="5"/>
  <c r="F29" i="5"/>
  <c r="F31" i="5"/>
  <c r="F33" i="5"/>
  <c r="F35" i="5"/>
  <c r="B36" i="5"/>
  <c r="F39" i="5"/>
  <c r="D127" i="5"/>
  <c r="B155" i="5" s="1"/>
  <c r="B130" i="5"/>
  <c r="O71" i="5"/>
  <c r="P71" i="5" s="1"/>
  <c r="Q71" i="5" s="1"/>
  <c r="R71" i="5" s="1"/>
  <c r="B128" i="5"/>
  <c r="B138" i="5"/>
  <c r="B144" i="5"/>
  <c r="O21" i="5"/>
  <c r="P21" i="5" s="1"/>
  <c r="Q21" i="5" s="1"/>
  <c r="R21" i="5" s="1"/>
  <c r="B28" i="5"/>
  <c r="B100" i="5"/>
  <c r="N31" i="5"/>
  <c r="O31" i="5" s="1"/>
  <c r="P31" i="5" s="1"/>
  <c r="Q31" i="5" s="1"/>
  <c r="R31" i="5" s="1"/>
  <c r="B40" i="5"/>
  <c r="B76" i="5"/>
  <c r="B108" i="5"/>
  <c r="P41" i="5"/>
  <c r="Q41" i="5" s="1"/>
  <c r="R41" i="5" s="1"/>
  <c r="B42" i="5" s="1"/>
  <c r="B96" i="5"/>
  <c r="B150" i="5"/>
  <c r="B106" i="5"/>
  <c r="B24" i="5"/>
  <c r="B30" i="5"/>
  <c r="B110" i="5"/>
  <c r="N59" i="5"/>
  <c r="O59" i="5" s="1"/>
  <c r="P59" i="5" s="1"/>
  <c r="Q59" i="5" s="1"/>
  <c r="R59" i="5" s="1"/>
  <c r="O61" i="5"/>
  <c r="P61" i="5" s="1"/>
  <c r="Q61" i="5" s="1"/>
  <c r="R61" i="5" s="1"/>
  <c r="O77" i="5"/>
  <c r="P77" i="5" s="1"/>
  <c r="Q77" i="5" s="1"/>
  <c r="R77" i="5" s="1"/>
  <c r="B102" i="5"/>
  <c r="B112" i="5"/>
  <c r="B46" i="5"/>
  <c r="M63" i="5"/>
  <c r="N63" i="5" s="1"/>
  <c r="O63" i="5" s="1"/>
  <c r="P63" i="5" s="1"/>
  <c r="Q63" i="5" s="1"/>
  <c r="R63" i="5" s="1"/>
  <c r="B58" i="5"/>
  <c r="B104" i="5"/>
  <c r="B98" i="5"/>
  <c r="B114" i="5"/>
  <c r="B116" i="5"/>
  <c r="B152" i="5"/>
  <c r="B92" i="5"/>
  <c r="B94" i="5"/>
  <c r="P25" i="5"/>
  <c r="Q25" i="5" s="1"/>
  <c r="R25" i="5" s="1"/>
  <c r="B34" i="5"/>
  <c r="B66" i="5"/>
  <c r="B68" i="5"/>
  <c r="B82" i="5"/>
  <c r="R37" i="5"/>
  <c r="R73" i="5" s="1"/>
  <c r="B74" i="5" s="1"/>
  <c r="M69" i="5"/>
  <c r="N69" i="5" s="1"/>
  <c r="O69" i="5" s="1"/>
  <c r="P69" i="5" s="1"/>
  <c r="Q69" i="5" s="1"/>
  <c r="R69" i="5" s="1"/>
  <c r="B158" i="4"/>
  <c r="B137" i="4"/>
  <c r="B154" i="4"/>
  <c r="V187" i="4"/>
  <c r="F185" i="4"/>
  <c r="G185" i="4" s="1"/>
  <c r="G184" i="4"/>
  <c r="H184" i="4" s="1"/>
  <c r="I184" i="4" s="1"/>
  <c r="J184" i="4" s="1"/>
  <c r="K184" i="4" s="1"/>
  <c r="L184" i="4" s="1"/>
  <c r="M184" i="4" s="1"/>
  <c r="N184" i="4" s="1"/>
  <c r="O184" i="4" s="1"/>
  <c r="P184" i="4" s="1"/>
  <c r="Q184" i="4" s="1"/>
  <c r="R184" i="4" s="1"/>
  <c r="S184" i="4" s="1"/>
  <c r="T184" i="4" s="1"/>
  <c r="U184" i="4" s="1"/>
  <c r="V184" i="4" s="1"/>
  <c r="F174" i="4"/>
  <c r="F176" i="4" s="1"/>
  <c r="F178" i="4" s="1"/>
  <c r="G173" i="4"/>
  <c r="H173" i="4" s="1"/>
  <c r="I173" i="4" s="1"/>
  <c r="J173" i="4" s="1"/>
  <c r="K173" i="4" s="1"/>
  <c r="L173" i="4" s="1"/>
  <c r="M173" i="4" s="1"/>
  <c r="N173" i="4" s="1"/>
  <c r="O173" i="4" s="1"/>
  <c r="P173" i="4" s="1"/>
  <c r="C163" i="4"/>
  <c r="D163" i="4" s="1"/>
  <c r="C162" i="4"/>
  <c r="C165" i="4" s="1"/>
  <c r="D161" i="4"/>
  <c r="E161" i="4" s="1"/>
  <c r="F161" i="4" s="1"/>
  <c r="S127" i="4"/>
  <c r="R127" i="4"/>
  <c r="Q127" i="4"/>
  <c r="F127" i="4"/>
  <c r="AC125" i="4"/>
  <c r="AB125" i="4"/>
  <c r="AA125" i="4"/>
  <c r="Z125" i="4"/>
  <c r="Y125" i="4"/>
  <c r="X125" i="4"/>
  <c r="X127" i="4" s="1"/>
  <c r="W125" i="4"/>
  <c r="W127" i="4" s="1"/>
  <c r="V125" i="4"/>
  <c r="V127" i="4" s="1"/>
  <c r="U125" i="4"/>
  <c r="U127" i="4" s="1"/>
  <c r="T125" i="4"/>
  <c r="T127" i="4" s="1"/>
  <c r="M125" i="4"/>
  <c r="M127" i="4" s="1"/>
  <c r="F125" i="4"/>
  <c r="S119" i="4"/>
  <c r="R119" i="4"/>
  <c r="Q119" i="4"/>
  <c r="F119" i="4"/>
  <c r="AC117" i="4"/>
  <c r="AB117" i="4"/>
  <c r="AA117" i="4"/>
  <c r="Z117" i="4"/>
  <c r="Y117" i="4"/>
  <c r="X117" i="4"/>
  <c r="X119" i="4" s="1"/>
  <c r="W117" i="4"/>
  <c r="W119" i="4" s="1"/>
  <c r="V117" i="4"/>
  <c r="V119" i="4" s="1"/>
  <c r="U117" i="4"/>
  <c r="U119" i="4" s="1"/>
  <c r="T117" i="4"/>
  <c r="T119" i="4" s="1"/>
  <c r="P117" i="4"/>
  <c r="P119" i="4" s="1"/>
  <c r="F117" i="4"/>
  <c r="AT112" i="4"/>
  <c r="AT119" i="4" s="1"/>
  <c r="AS112" i="4"/>
  <c r="AS119" i="4" s="1"/>
  <c r="AR112" i="4"/>
  <c r="AR119" i="4" s="1"/>
  <c r="AQ112" i="4"/>
  <c r="AQ127" i="4" s="1"/>
  <c r="AP112" i="4"/>
  <c r="AP127" i="4" s="1"/>
  <c r="AO112" i="4"/>
  <c r="AO127" i="4" s="1"/>
  <c r="AN112" i="4"/>
  <c r="AN119" i="4" s="1"/>
  <c r="AM112" i="4"/>
  <c r="AM119" i="4" s="1"/>
  <c r="AL112" i="4"/>
  <c r="AL119" i="4" s="1"/>
  <c r="AK112" i="4"/>
  <c r="AK119" i="4" s="1"/>
  <c r="AJ112" i="4"/>
  <c r="AJ127" i="4" s="1"/>
  <c r="AI112" i="4"/>
  <c r="AI127" i="4" s="1"/>
  <c r="AH112" i="4"/>
  <c r="AH127" i="4" s="1"/>
  <c r="AG112" i="4"/>
  <c r="AG127" i="4" s="1"/>
  <c r="AF112" i="4"/>
  <c r="AF119" i="4" s="1"/>
  <c r="AE112" i="4"/>
  <c r="AE119" i="4" s="1"/>
  <c r="AD112" i="4"/>
  <c r="AD119" i="4" s="1"/>
  <c r="AC112" i="4"/>
  <c r="AC119" i="4" s="1"/>
  <c r="AB112" i="4"/>
  <c r="AB119" i="4" s="1"/>
  <c r="AA112" i="4"/>
  <c r="AA119" i="4" s="1"/>
  <c r="Z112" i="4"/>
  <c r="Z127" i="4" s="1"/>
  <c r="Y112" i="4"/>
  <c r="Y127" i="4" s="1"/>
  <c r="I110" i="4"/>
  <c r="J110" i="4" s="1"/>
  <c r="K110" i="4" s="1"/>
  <c r="L110" i="4" s="1"/>
  <c r="M110" i="4" s="1"/>
  <c r="N110" i="4" s="1"/>
  <c r="O110" i="4" s="1"/>
  <c r="P110" i="4" s="1"/>
  <c r="Q110" i="4" s="1"/>
  <c r="R110" i="4" s="1"/>
  <c r="S110" i="4" s="1"/>
  <c r="T110" i="4" s="1"/>
  <c r="U110" i="4" s="1"/>
  <c r="V110" i="4" s="1"/>
  <c r="W110" i="4" s="1"/>
  <c r="X110" i="4" s="1"/>
  <c r="Y110" i="4" s="1"/>
  <c r="Z110" i="4" s="1"/>
  <c r="AA110" i="4" s="1"/>
  <c r="AB110" i="4" s="1"/>
  <c r="AC110" i="4" s="1"/>
  <c r="AD110" i="4" s="1"/>
  <c r="AE110" i="4" s="1"/>
  <c r="AF110" i="4" s="1"/>
  <c r="AG110" i="4" s="1"/>
  <c r="AH110" i="4" s="1"/>
  <c r="AI110" i="4" s="1"/>
  <c r="AJ110" i="4" s="1"/>
  <c r="AK110" i="4" s="1"/>
  <c r="AL110" i="4" s="1"/>
  <c r="AM110" i="4" s="1"/>
  <c r="AN110" i="4" s="1"/>
  <c r="AO110" i="4" s="1"/>
  <c r="AP110" i="4" s="1"/>
  <c r="AQ110" i="4" s="1"/>
  <c r="AR110" i="4" s="1"/>
  <c r="AS110" i="4" s="1"/>
  <c r="AT110" i="4" s="1"/>
  <c r="C94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I92" i="4" s="1"/>
  <c r="I90" i="4"/>
  <c r="H90" i="4"/>
  <c r="G90" i="4"/>
  <c r="F90" i="4"/>
  <c r="E90" i="4"/>
  <c r="D90" i="4"/>
  <c r="N89" i="4"/>
  <c r="O89" i="4" s="1"/>
  <c r="P89" i="4" s="1"/>
  <c r="Q89" i="4" s="1"/>
  <c r="R89" i="4" s="1"/>
  <c r="S89" i="4" s="1"/>
  <c r="T89" i="4" s="1"/>
  <c r="U89" i="4" s="1"/>
  <c r="V89" i="4" s="1"/>
  <c r="W89" i="4" s="1"/>
  <c r="D86" i="4"/>
  <c r="E86" i="4" s="1"/>
  <c r="Q85" i="4"/>
  <c r="P85" i="4"/>
  <c r="O85" i="4"/>
  <c r="N85" i="4"/>
  <c r="M85" i="4"/>
  <c r="L85" i="4"/>
  <c r="K85" i="4"/>
  <c r="J85" i="4"/>
  <c r="I85" i="4"/>
  <c r="H85" i="4"/>
  <c r="G85" i="4"/>
  <c r="D84" i="4"/>
  <c r="D83" i="4"/>
  <c r="E81" i="4" s="1"/>
  <c r="D81" i="4"/>
  <c r="D80" i="4"/>
  <c r="E78" i="4" s="1"/>
  <c r="D78" i="4"/>
  <c r="E76" i="4"/>
  <c r="F76" i="4" s="1"/>
  <c r="G76" i="4" s="1"/>
  <c r="H76" i="4" s="1"/>
  <c r="I76" i="4" s="1"/>
  <c r="J76" i="4" s="1"/>
  <c r="K76" i="4" s="1"/>
  <c r="L76" i="4" s="1"/>
  <c r="M76" i="4" s="1"/>
  <c r="N76" i="4" s="1"/>
  <c r="O76" i="4" s="1"/>
  <c r="P76" i="4" s="1"/>
  <c r="Q76" i="4" s="1"/>
  <c r="R76" i="4" s="1"/>
  <c r="S76" i="4" s="1"/>
  <c r="T76" i="4" s="1"/>
  <c r="U76" i="4" s="1"/>
  <c r="V76" i="4" s="1"/>
  <c r="W76" i="4" s="1"/>
  <c r="B160" i="5" l="1"/>
  <c r="F61" i="5"/>
  <c r="B22" i="5"/>
  <c r="G204" i="5"/>
  <c r="I195" i="5"/>
  <c r="K221" i="5"/>
  <c r="K224" i="5" s="1"/>
  <c r="J224" i="5"/>
  <c r="J220" i="5"/>
  <c r="K220" i="5" s="1"/>
  <c r="L220" i="5" s="1"/>
  <c r="H195" i="5"/>
  <c r="H210" i="5"/>
  <c r="G213" i="5"/>
  <c r="H202" i="5"/>
  <c r="H204" i="5"/>
  <c r="I201" i="5"/>
  <c r="O221" i="5"/>
  <c r="F77" i="5"/>
  <c r="F73" i="5"/>
  <c r="F69" i="5"/>
  <c r="F71" i="5"/>
  <c r="F57" i="5"/>
  <c r="B85" i="5"/>
  <c r="F81" i="5"/>
  <c r="B38" i="5"/>
  <c r="F59" i="5"/>
  <c r="F65" i="5"/>
  <c r="B154" i="5"/>
  <c r="B156" i="5" s="1"/>
  <c r="B157" i="5" s="1"/>
  <c r="F75" i="5"/>
  <c r="F79" i="5"/>
  <c r="F67" i="5"/>
  <c r="B32" i="5"/>
  <c r="B78" i="5"/>
  <c r="B70" i="5"/>
  <c r="B26" i="5"/>
  <c r="B64" i="5"/>
  <c r="B72" i="5"/>
  <c r="B118" i="5"/>
  <c r="B120" i="5" s="1"/>
  <c r="B121" i="5" s="1"/>
  <c r="B62" i="5"/>
  <c r="B60" i="5"/>
  <c r="AI119" i="4"/>
  <c r="AO119" i="4"/>
  <c r="AP119" i="4"/>
  <c r="Y119" i="4"/>
  <c r="AC127" i="4"/>
  <c r="AA127" i="4"/>
  <c r="Z119" i="4"/>
  <c r="AH119" i="4"/>
  <c r="E80" i="4"/>
  <c r="F80" i="4" s="1"/>
  <c r="G78" i="4" s="1"/>
  <c r="AS127" i="4"/>
  <c r="G174" i="4"/>
  <c r="G176" i="4" s="1"/>
  <c r="AJ119" i="4"/>
  <c r="AB127" i="4"/>
  <c r="G175" i="4"/>
  <c r="H175" i="4" s="1"/>
  <c r="I175" i="4" s="1"/>
  <c r="AQ119" i="4"/>
  <c r="AR127" i="4"/>
  <c r="AK127" i="4"/>
  <c r="AG119" i="4"/>
  <c r="G187" i="4"/>
  <c r="G186" i="4"/>
  <c r="F187" i="4"/>
  <c r="F189" i="4" s="1"/>
  <c r="E163" i="4"/>
  <c r="F163" i="4" s="1"/>
  <c r="D165" i="4"/>
  <c r="N125" i="4"/>
  <c r="AD127" i="4"/>
  <c r="AL127" i="4"/>
  <c r="AT127" i="4"/>
  <c r="AE127" i="4"/>
  <c r="AM127" i="4"/>
  <c r="AN127" i="4"/>
  <c r="B118" i="4"/>
  <c r="B122" i="4" s="1"/>
  <c r="AF127" i="4"/>
  <c r="E84" i="4"/>
  <c r="E97" i="4" s="1"/>
  <c r="D97" i="4"/>
  <c r="F86" i="4"/>
  <c r="F84" i="4"/>
  <c r="J90" i="4"/>
  <c r="J92" i="4"/>
  <c r="E83" i="4"/>
  <c r="B48" i="5" l="1"/>
  <c r="B50" i="5" s="1"/>
  <c r="F197" i="5"/>
  <c r="B169" i="5" s="1"/>
  <c r="C169" i="5"/>
  <c r="G169" i="5"/>
  <c r="H169" i="5" s="1"/>
  <c r="H170" i="5" s="1"/>
  <c r="M220" i="5"/>
  <c r="L222" i="5"/>
  <c r="L224" i="5" s="1"/>
  <c r="J201" i="5"/>
  <c r="P221" i="5"/>
  <c r="I200" i="5"/>
  <c r="I210" i="5"/>
  <c r="H209" i="5"/>
  <c r="B84" i="5"/>
  <c r="B86" i="5" s="1"/>
  <c r="B87" i="5" s="1"/>
  <c r="B120" i="4"/>
  <c r="B123" i="4" s="1"/>
  <c r="F78" i="4"/>
  <c r="G178" i="4"/>
  <c r="G80" i="4"/>
  <c r="H80" i="4" s="1"/>
  <c r="H174" i="4"/>
  <c r="H176" i="4" s="1"/>
  <c r="H178" i="4" s="1"/>
  <c r="G189" i="4"/>
  <c r="H186" i="4"/>
  <c r="J175" i="4"/>
  <c r="E165" i="4"/>
  <c r="F165" i="4"/>
  <c r="O125" i="4"/>
  <c r="N127" i="4"/>
  <c r="F81" i="4"/>
  <c r="F83" i="4"/>
  <c r="K90" i="4"/>
  <c r="K92" i="4"/>
  <c r="G86" i="4"/>
  <c r="G84" i="4"/>
  <c r="B51" i="5" l="1"/>
  <c r="B159" i="5"/>
  <c r="B161" i="5" s="1"/>
  <c r="N220" i="5"/>
  <c r="M222" i="5"/>
  <c r="M224" i="5" s="1"/>
  <c r="I202" i="5"/>
  <c r="I204" i="5" s="1"/>
  <c r="J200" i="5"/>
  <c r="I209" i="5"/>
  <c r="H211" i="5"/>
  <c r="H213" i="5" s="1"/>
  <c r="J210" i="5"/>
  <c r="K201" i="5"/>
  <c r="Q221" i="5"/>
  <c r="H78" i="4"/>
  <c r="B169" i="4"/>
  <c r="B149" i="4" s="1"/>
  <c r="D149" i="4" s="1"/>
  <c r="F97" i="4"/>
  <c r="I174" i="4"/>
  <c r="I176" i="4" s="1"/>
  <c r="I178" i="4" s="1"/>
  <c r="I186" i="4"/>
  <c r="H185" i="4"/>
  <c r="K175" i="4"/>
  <c r="P125" i="4"/>
  <c r="P127" i="4" s="1"/>
  <c r="O127" i="4"/>
  <c r="L92" i="4"/>
  <c r="L90" i="4"/>
  <c r="H86" i="4"/>
  <c r="H84" i="4"/>
  <c r="I80" i="4"/>
  <c r="I78" i="4"/>
  <c r="G81" i="4"/>
  <c r="G97" i="4" s="1"/>
  <c r="G83" i="4"/>
  <c r="N222" i="5" l="1"/>
  <c r="N224" i="5" s="1"/>
  <c r="O220" i="5"/>
  <c r="J209" i="5"/>
  <c r="I211" i="5"/>
  <c r="I213" i="5" s="1"/>
  <c r="L201" i="5"/>
  <c r="K200" i="5"/>
  <c r="J202" i="5"/>
  <c r="J204" i="5" s="1"/>
  <c r="K210" i="5"/>
  <c r="R221" i="5"/>
  <c r="J174" i="4"/>
  <c r="J176" i="4" s="1"/>
  <c r="J178" i="4" s="1"/>
  <c r="B128" i="4"/>
  <c r="B131" i="4" s="1"/>
  <c r="B134" i="4" s="1"/>
  <c r="C134" i="4" s="1"/>
  <c r="B126" i="4"/>
  <c r="B130" i="4" s="1"/>
  <c r="B133" i="4" s="1"/>
  <c r="H187" i="4"/>
  <c r="H189" i="4" s="1"/>
  <c r="I185" i="4"/>
  <c r="J186" i="4"/>
  <c r="L175" i="4"/>
  <c r="M92" i="4"/>
  <c r="M90" i="4"/>
  <c r="H81" i="4"/>
  <c r="H97" i="4" s="1"/>
  <c r="H83" i="4"/>
  <c r="J78" i="4"/>
  <c r="J80" i="4"/>
  <c r="I84" i="4"/>
  <c r="I86" i="4"/>
  <c r="P220" i="5" l="1"/>
  <c r="O222" i="5"/>
  <c r="O224" i="5" s="1"/>
  <c r="K202" i="5"/>
  <c r="K204" i="5" s="1"/>
  <c r="L200" i="5"/>
  <c r="M201" i="5"/>
  <c r="S221" i="5"/>
  <c r="L210" i="5"/>
  <c r="K209" i="5"/>
  <c r="J211" i="5"/>
  <c r="J213" i="5" s="1"/>
  <c r="C133" i="4"/>
  <c r="B136" i="4"/>
  <c r="K174" i="4"/>
  <c r="L174" i="4" s="1"/>
  <c r="K186" i="4"/>
  <c r="J185" i="4"/>
  <c r="I187" i="4"/>
  <c r="I189" i="4" s="1"/>
  <c r="M175" i="4"/>
  <c r="N90" i="4"/>
  <c r="N92" i="4"/>
  <c r="K78" i="4"/>
  <c r="K80" i="4"/>
  <c r="J86" i="4"/>
  <c r="J84" i="4"/>
  <c r="I81" i="4"/>
  <c r="I97" i="4" s="1"/>
  <c r="I83" i="4"/>
  <c r="Q220" i="5" l="1"/>
  <c r="P222" i="5"/>
  <c r="P224" i="5" s="1"/>
  <c r="N201" i="5"/>
  <c r="L202" i="5"/>
  <c r="L204" i="5" s="1"/>
  <c r="M200" i="5"/>
  <c r="M210" i="5"/>
  <c r="T221" i="5"/>
  <c r="L209" i="5"/>
  <c r="K211" i="5"/>
  <c r="K213" i="5" s="1"/>
  <c r="K176" i="4"/>
  <c r="K178" i="4" s="1"/>
  <c r="J187" i="4"/>
  <c r="J189" i="4" s="1"/>
  <c r="K185" i="4"/>
  <c r="L186" i="4"/>
  <c r="M174" i="4"/>
  <c r="L176" i="4"/>
  <c r="L178" i="4" s="1"/>
  <c r="N175" i="4"/>
  <c r="J83" i="4"/>
  <c r="J81" i="4"/>
  <c r="J97" i="4" s="1"/>
  <c r="L78" i="4"/>
  <c r="L80" i="4"/>
  <c r="K84" i="4"/>
  <c r="K86" i="4"/>
  <c r="O90" i="4"/>
  <c r="O92" i="4"/>
  <c r="R220" i="5" l="1"/>
  <c r="Q222" i="5"/>
  <c r="Q224" i="5" s="1"/>
  <c r="N200" i="5"/>
  <c r="M202" i="5"/>
  <c r="M204" i="5" s="1"/>
  <c r="N210" i="5"/>
  <c r="L211" i="5"/>
  <c r="L213" i="5" s="1"/>
  <c r="M209" i="5"/>
  <c r="U221" i="5"/>
  <c r="O201" i="5"/>
  <c r="M186" i="4"/>
  <c r="K187" i="4"/>
  <c r="K189" i="4" s="1"/>
  <c r="L185" i="4"/>
  <c r="N174" i="4"/>
  <c r="M176" i="4"/>
  <c r="M178" i="4" s="1"/>
  <c r="O175" i="4"/>
  <c r="L84" i="4"/>
  <c r="L86" i="4"/>
  <c r="M78" i="4"/>
  <c r="M80" i="4"/>
  <c r="P90" i="4"/>
  <c r="P92" i="4"/>
  <c r="K83" i="4"/>
  <c r="K81" i="4"/>
  <c r="K97" i="4" s="1"/>
  <c r="S220" i="5" l="1"/>
  <c r="R222" i="5"/>
  <c r="R224" i="5" s="1"/>
  <c r="N209" i="5"/>
  <c r="M211" i="5"/>
  <c r="M213" i="5" s="1"/>
  <c r="O210" i="5"/>
  <c r="P201" i="5"/>
  <c r="V221" i="5"/>
  <c r="O200" i="5"/>
  <c r="N202" i="5"/>
  <c r="N204" i="5" s="1"/>
  <c r="L187" i="4"/>
  <c r="L189" i="4" s="1"/>
  <c r="M185" i="4"/>
  <c r="N186" i="4"/>
  <c r="O174" i="4"/>
  <c r="N176" i="4"/>
  <c r="N178" i="4" s="1"/>
  <c r="P175" i="4"/>
  <c r="L81" i="4"/>
  <c r="L97" i="4" s="1"/>
  <c r="L83" i="4"/>
  <c r="Q90" i="4"/>
  <c r="Q92" i="4"/>
  <c r="N80" i="4"/>
  <c r="N78" i="4"/>
  <c r="M86" i="4"/>
  <c r="M84" i="4"/>
  <c r="S222" i="5" l="1"/>
  <c r="S224" i="5" s="1"/>
  <c r="T220" i="5"/>
  <c r="P210" i="5"/>
  <c r="P200" i="5"/>
  <c r="P202" i="5" s="1"/>
  <c r="P204" i="5" s="1"/>
  <c r="O202" i="5"/>
  <c r="O204" i="5" s="1"/>
  <c r="O209" i="5"/>
  <c r="N211" i="5"/>
  <c r="N213" i="5" s="1"/>
  <c r="W221" i="5"/>
  <c r="O186" i="4"/>
  <c r="N185" i="4"/>
  <c r="M187" i="4"/>
  <c r="M189" i="4" s="1"/>
  <c r="O176" i="4"/>
  <c r="O178" i="4" s="1"/>
  <c r="P174" i="4"/>
  <c r="P176" i="4" s="1"/>
  <c r="P178" i="4" s="1"/>
  <c r="N86" i="4"/>
  <c r="N84" i="4"/>
  <c r="O78" i="4"/>
  <c r="O80" i="4"/>
  <c r="R90" i="4"/>
  <c r="R92" i="4"/>
  <c r="M81" i="4"/>
  <c r="M97" i="4" s="1"/>
  <c r="M83" i="4"/>
  <c r="F206" i="5" l="1"/>
  <c r="B170" i="5" s="1"/>
  <c r="E170" i="5" s="1"/>
  <c r="C170" i="5"/>
  <c r="U220" i="5"/>
  <c r="T222" i="5"/>
  <c r="T224" i="5" s="1"/>
  <c r="O211" i="5"/>
  <c r="O213" i="5" s="1"/>
  <c r="P209" i="5"/>
  <c r="X221" i="5"/>
  <c r="Q210" i="5"/>
  <c r="F180" i="4"/>
  <c r="B150" i="4" s="1"/>
  <c r="E150" i="4" s="1"/>
  <c r="O185" i="4"/>
  <c r="N187" i="4"/>
  <c r="N189" i="4" s="1"/>
  <c r="P186" i="4"/>
  <c r="P80" i="4"/>
  <c r="P78" i="4"/>
  <c r="S90" i="4"/>
  <c r="S97" i="4" s="1"/>
  <c r="S92" i="4"/>
  <c r="N81" i="4"/>
  <c r="N97" i="4" s="1"/>
  <c r="N83" i="4"/>
  <c r="O86" i="4"/>
  <c r="O84" i="4"/>
  <c r="B171" i="5" l="1"/>
  <c r="C171" i="5" s="1"/>
  <c r="U222" i="5"/>
  <c r="U224" i="5" s="1"/>
  <c r="V220" i="5"/>
  <c r="E171" i="5"/>
  <c r="F170" i="5"/>
  <c r="R210" i="5"/>
  <c r="Y221" i="5"/>
  <c r="Q209" i="5"/>
  <c r="P211" i="5"/>
  <c r="P213" i="5" s="1"/>
  <c r="B151" i="4"/>
  <c r="D151" i="4" s="1"/>
  <c r="D150" i="4"/>
  <c r="P185" i="4"/>
  <c r="O187" i="4"/>
  <c r="O189" i="4" s="1"/>
  <c r="Q186" i="4"/>
  <c r="P86" i="4"/>
  <c r="Q84" i="4" s="1"/>
  <c r="P84" i="4"/>
  <c r="O81" i="4"/>
  <c r="O97" i="4" s="1"/>
  <c r="O83" i="4"/>
  <c r="T90" i="4"/>
  <c r="T97" i="4" s="1"/>
  <c r="T92" i="4"/>
  <c r="Q80" i="4"/>
  <c r="Q78" i="4"/>
  <c r="V222" i="5" l="1"/>
  <c r="V224" i="5" s="1"/>
  <c r="W220" i="5"/>
  <c r="R209" i="5"/>
  <c r="Q211" i="5"/>
  <c r="Q213" i="5" s="1"/>
  <c r="S210" i="5"/>
  <c r="R186" i="4"/>
  <c r="P187" i="4"/>
  <c r="P189" i="4" s="1"/>
  <c r="Q185" i="4"/>
  <c r="U92" i="4"/>
  <c r="U90" i="4"/>
  <c r="U97" i="4" s="1"/>
  <c r="R78" i="4"/>
  <c r="R80" i="4"/>
  <c r="P83" i="4"/>
  <c r="P81" i="4"/>
  <c r="P97" i="4" s="1"/>
  <c r="X220" i="5" l="1"/>
  <c r="W222" i="5"/>
  <c r="W224" i="5" s="1"/>
  <c r="T210" i="5"/>
  <c r="S209" i="5"/>
  <c r="R211" i="5"/>
  <c r="R213" i="5" s="1"/>
  <c r="R185" i="4"/>
  <c r="Q187" i="4"/>
  <c r="Q189" i="4" s="1"/>
  <c r="S186" i="4"/>
  <c r="Q81" i="4"/>
  <c r="Q97" i="4" s="1"/>
  <c r="Q83" i="4"/>
  <c r="V92" i="4"/>
  <c r="W90" i="4" s="1"/>
  <c r="W97" i="4" s="1"/>
  <c r="V90" i="4"/>
  <c r="V97" i="4" s="1"/>
  <c r="AA66" i="4"/>
  <c r="K66" i="4"/>
  <c r="J66" i="4"/>
  <c r="I66" i="4"/>
  <c r="H66" i="4"/>
  <c r="G66" i="4"/>
  <c r="F66" i="4"/>
  <c r="E66" i="4"/>
  <c r="D66" i="4"/>
  <c r="C66" i="4"/>
  <c r="L65" i="4"/>
  <c r="L66" i="4" s="1"/>
  <c r="Q64" i="4"/>
  <c r="P64" i="4"/>
  <c r="O64" i="4"/>
  <c r="N64" i="4"/>
  <c r="K62" i="4"/>
  <c r="J62" i="4"/>
  <c r="I62" i="4"/>
  <c r="H62" i="4"/>
  <c r="G62" i="4"/>
  <c r="F62" i="4"/>
  <c r="E62" i="4"/>
  <c r="E68" i="4" s="1"/>
  <c r="D62" i="4"/>
  <c r="C62" i="4"/>
  <c r="L61" i="4"/>
  <c r="L62" i="4" s="1"/>
  <c r="Y60" i="4"/>
  <c r="X60" i="4"/>
  <c r="W60" i="4"/>
  <c r="V60" i="4"/>
  <c r="U60" i="4"/>
  <c r="T60" i="4"/>
  <c r="S60" i="4"/>
  <c r="R60" i="4"/>
  <c r="Q60" i="4"/>
  <c r="P60" i="4"/>
  <c r="O60" i="4"/>
  <c r="N60" i="4"/>
  <c r="B56" i="4"/>
  <c r="B55" i="4" s="1"/>
  <c r="D53" i="4"/>
  <c r="E53" i="4" s="1"/>
  <c r="F53" i="4" s="1"/>
  <c r="G53" i="4" s="1"/>
  <c r="H53" i="4" s="1"/>
  <c r="I53" i="4" s="1"/>
  <c r="J53" i="4" s="1"/>
  <c r="K53" i="4" s="1"/>
  <c r="L53" i="4" s="1"/>
  <c r="M53" i="4" s="1"/>
  <c r="N53" i="4" s="1"/>
  <c r="O53" i="4" s="1"/>
  <c r="P53" i="4" s="1"/>
  <c r="Q53" i="4" s="1"/>
  <c r="R53" i="4" s="1"/>
  <c r="S53" i="4" s="1"/>
  <c r="T53" i="4" s="1"/>
  <c r="U53" i="4" s="1"/>
  <c r="V53" i="4" s="1"/>
  <c r="W53" i="4" s="1"/>
  <c r="X53" i="4" s="1"/>
  <c r="Y53" i="4" s="1"/>
  <c r="Z53" i="4" s="1"/>
  <c r="AA53" i="4" s="1"/>
  <c r="E42" i="4"/>
  <c r="D42" i="4"/>
  <c r="C42" i="4"/>
  <c r="K37" i="4"/>
  <c r="L37" i="4" s="1"/>
  <c r="F26" i="4"/>
  <c r="F29" i="4" s="1"/>
  <c r="F42" i="4" s="1"/>
  <c r="F25" i="4"/>
  <c r="G26" i="4" s="1"/>
  <c r="G29" i="4" s="1"/>
  <c r="G42" i="4" s="1"/>
  <c r="D24" i="4"/>
  <c r="E24" i="4" s="1"/>
  <c r="F24" i="4" s="1"/>
  <c r="G24" i="4" s="1"/>
  <c r="H24" i="4" s="1"/>
  <c r="I24" i="4" s="1"/>
  <c r="J24" i="4" s="1"/>
  <c r="K24" i="4" s="1"/>
  <c r="L24" i="4" s="1"/>
  <c r="M24" i="4" s="1"/>
  <c r="N24" i="4" s="1"/>
  <c r="O24" i="4" s="1"/>
  <c r="P24" i="4" s="1"/>
  <c r="Q24" i="4" s="1"/>
  <c r="R24" i="4" s="1"/>
  <c r="S24" i="4" s="1"/>
  <c r="T24" i="4" s="1"/>
  <c r="U24" i="4" s="1"/>
  <c r="V24" i="4" s="1"/>
  <c r="W24" i="4" s="1"/>
  <c r="X24" i="4" s="1"/>
  <c r="Y24" i="4" s="1"/>
  <c r="Z24" i="4" s="1"/>
  <c r="AA24" i="4" s="1"/>
  <c r="AB24" i="4" s="1"/>
  <c r="AC24" i="4" s="1"/>
  <c r="AD24" i="4" s="1"/>
  <c r="AE24" i="4" s="1"/>
  <c r="AF24" i="4" s="1"/>
  <c r="G15" i="4"/>
  <c r="F15" i="4"/>
  <c r="E15" i="4"/>
  <c r="D15" i="4"/>
  <c r="C15" i="4"/>
  <c r="B15" i="4"/>
  <c r="G11" i="4"/>
  <c r="G12" i="4" s="1"/>
  <c r="G13" i="4" s="1"/>
  <c r="F11" i="4"/>
  <c r="F12" i="4" s="1"/>
  <c r="F13" i="4" s="1"/>
  <c r="E11" i="4"/>
  <c r="E12" i="4" s="1"/>
  <c r="E13" i="4" s="1"/>
  <c r="E16" i="4" s="1"/>
  <c r="D11" i="4"/>
  <c r="D12" i="4" s="1"/>
  <c r="D13" i="4" s="1"/>
  <c r="C11" i="4"/>
  <c r="C12" i="4" s="1"/>
  <c r="C13" i="4" s="1"/>
  <c r="B11" i="4"/>
  <c r="B12" i="4" s="1"/>
  <c r="B13" i="4" s="1"/>
  <c r="C6" i="4"/>
  <c r="D6" i="4" s="1"/>
  <c r="E6" i="4" s="1"/>
  <c r="F6" i="4" s="1"/>
  <c r="G6" i="4" s="1"/>
  <c r="Y220" i="5" l="1"/>
  <c r="Y222" i="5" s="1"/>
  <c r="Y224" i="5" s="1"/>
  <c r="X222" i="5"/>
  <c r="X224" i="5" s="1"/>
  <c r="T209" i="5"/>
  <c r="S211" i="5"/>
  <c r="S213" i="5" s="1"/>
  <c r="U210" i="5"/>
  <c r="L68" i="4"/>
  <c r="J68" i="4"/>
  <c r="D68" i="4"/>
  <c r="B16" i="4"/>
  <c r="H68" i="4"/>
  <c r="G68" i="4"/>
  <c r="I68" i="4"/>
  <c r="K68" i="4"/>
  <c r="T186" i="4"/>
  <c r="S185" i="4"/>
  <c r="R187" i="4"/>
  <c r="R189" i="4" s="1"/>
  <c r="F68" i="4"/>
  <c r="C16" i="4"/>
  <c r="C68" i="4"/>
  <c r="G16" i="4"/>
  <c r="M65" i="4"/>
  <c r="R83" i="4"/>
  <c r="R81" i="4"/>
  <c r="R97" i="4" s="1"/>
  <c r="B101" i="4" s="1"/>
  <c r="M61" i="4"/>
  <c r="M37" i="4"/>
  <c r="D16" i="4"/>
  <c r="F16" i="4"/>
  <c r="G25" i="4"/>
  <c r="F226" i="5" l="1"/>
  <c r="E172" i="5" s="1"/>
  <c r="V210" i="5"/>
  <c r="V213" i="5" s="1"/>
  <c r="T211" i="5"/>
  <c r="T213" i="5" s="1"/>
  <c r="U209" i="5"/>
  <c r="U211" i="5" s="1"/>
  <c r="U213" i="5" s="1"/>
  <c r="B103" i="4"/>
  <c r="B138" i="4"/>
  <c r="H16" i="4"/>
  <c r="S187" i="4"/>
  <c r="S189" i="4" s="1"/>
  <c r="T185" i="4"/>
  <c r="U186" i="4"/>
  <c r="M66" i="4"/>
  <c r="N65" i="4"/>
  <c r="M62" i="4"/>
  <c r="N61" i="4"/>
  <c r="N37" i="4"/>
  <c r="H26" i="4"/>
  <c r="H29" i="4" s="1"/>
  <c r="H42" i="4" s="1"/>
  <c r="H25" i="4"/>
  <c r="F215" i="5" l="1"/>
  <c r="B172" i="5" s="1"/>
  <c r="M68" i="4"/>
  <c r="V186" i="4"/>
  <c r="V189" i="4" s="1"/>
  <c r="T187" i="4"/>
  <c r="T189" i="4" s="1"/>
  <c r="U185" i="4"/>
  <c r="U187" i="4" s="1"/>
  <c r="U189" i="4" s="1"/>
  <c r="O65" i="4"/>
  <c r="N66" i="4"/>
  <c r="N62" i="4"/>
  <c r="O61" i="4"/>
  <c r="O37" i="4"/>
  <c r="I27" i="4"/>
  <c r="J27" i="4" s="1"/>
  <c r="K27" i="4" s="1"/>
  <c r="L27" i="4" s="1"/>
  <c r="M27" i="4" s="1"/>
  <c r="N27" i="4" s="1"/>
  <c r="O27" i="4" s="1"/>
  <c r="I26" i="4"/>
  <c r="C172" i="5" l="1"/>
  <c r="B177" i="5"/>
  <c r="B173" i="5"/>
  <c r="N68" i="4"/>
  <c r="F191" i="4"/>
  <c r="B152" i="4" s="1"/>
  <c r="O66" i="4"/>
  <c r="P65" i="4"/>
  <c r="I29" i="4"/>
  <c r="I42" i="4" s="1"/>
  <c r="I25" i="4"/>
  <c r="J26" i="4" s="1"/>
  <c r="J29" i="4" s="1"/>
  <c r="J42" i="4" s="1"/>
  <c r="O62" i="4"/>
  <c r="P61" i="4"/>
  <c r="P37" i="4"/>
  <c r="C173" i="5" l="1"/>
  <c r="E173" i="5"/>
  <c r="J25" i="4"/>
  <c r="K26" i="4" s="1"/>
  <c r="K29" i="4" s="1"/>
  <c r="K42" i="4" s="1"/>
  <c r="D152" i="4"/>
  <c r="B153" i="4"/>
  <c r="O68" i="4"/>
  <c r="Q65" i="4"/>
  <c r="P66" i="4"/>
  <c r="P62" i="4"/>
  <c r="P68" i="4" s="1"/>
  <c r="Q61" i="4"/>
  <c r="P42" i="4"/>
  <c r="Q37" i="4"/>
  <c r="F175" i="5" l="1"/>
  <c r="F176" i="5" s="1"/>
  <c r="E174" i="5"/>
  <c r="B176" i="5" s="1"/>
  <c r="K25" i="4"/>
  <c r="L25" i="4" s="1"/>
  <c r="D153" i="4"/>
  <c r="E153" i="4"/>
  <c r="Q66" i="4"/>
  <c r="R65" i="4"/>
  <c r="Q62" i="4"/>
  <c r="Q68" i="4" s="1"/>
  <c r="R61" i="4"/>
  <c r="Q42" i="4"/>
  <c r="R37" i="4"/>
  <c r="L26" i="4"/>
  <c r="L29" i="4" s="1"/>
  <c r="L42" i="4" s="1"/>
  <c r="R66" i="4" l="1"/>
  <c r="S65" i="4"/>
  <c r="S61" i="4"/>
  <c r="R62" i="4"/>
  <c r="S37" i="4"/>
  <c r="R42" i="4"/>
  <c r="M26" i="4"/>
  <c r="M29" i="4" s="1"/>
  <c r="M42" i="4" s="1"/>
  <c r="M25" i="4"/>
  <c r="R68" i="4" l="1"/>
  <c r="T65" i="4"/>
  <c r="S66" i="4"/>
  <c r="S62" i="4"/>
  <c r="S68" i="4" s="1"/>
  <c r="T61" i="4"/>
  <c r="T37" i="4"/>
  <c r="S42" i="4"/>
  <c r="N26" i="4"/>
  <c r="N29" i="4" s="1"/>
  <c r="N42" i="4" s="1"/>
  <c r="N25" i="4"/>
  <c r="O26" i="4" s="1"/>
  <c r="O29" i="4" s="1"/>
  <c r="B33" i="4" l="1"/>
  <c r="O42" i="4"/>
  <c r="U65" i="4"/>
  <c r="T66" i="4"/>
  <c r="T62" i="4"/>
  <c r="U61" i="4"/>
  <c r="U37" i="4"/>
  <c r="T42" i="4"/>
  <c r="T68" i="4" l="1"/>
  <c r="B35" i="4"/>
  <c r="E149" i="4"/>
  <c r="U66" i="4"/>
  <c r="V65" i="4"/>
  <c r="V61" i="4"/>
  <c r="U62" i="4"/>
  <c r="U68" i="4" s="1"/>
  <c r="V37" i="4"/>
  <c r="U42" i="4"/>
  <c r="E151" i="4" l="1"/>
  <c r="G149" i="4"/>
  <c r="H149" i="4" s="1"/>
  <c r="H150" i="4" s="1"/>
  <c r="F150" i="4" s="1"/>
  <c r="V66" i="4"/>
  <c r="W65" i="4"/>
  <c r="V62" i="4"/>
  <c r="W61" i="4"/>
  <c r="W37" i="4"/>
  <c r="V42" i="4"/>
  <c r="X65" i="4" l="1"/>
  <c r="W66" i="4"/>
  <c r="V68" i="4"/>
  <c r="W62" i="4"/>
  <c r="X61" i="4"/>
  <c r="W42" i="4"/>
  <c r="X37" i="4"/>
  <c r="W68" i="4" l="1"/>
  <c r="X66" i="4"/>
  <c r="Y65" i="4"/>
  <c r="X62" i="4"/>
  <c r="Y61" i="4"/>
  <c r="X42" i="4"/>
  <c r="Y37" i="4"/>
  <c r="X68" i="4" l="1"/>
  <c r="Y66" i="4"/>
  <c r="Z65" i="4"/>
  <c r="Z66" i="4" s="1"/>
  <c r="Y62" i="4"/>
  <c r="Z61" i="4"/>
  <c r="Z37" i="4"/>
  <c r="Y42" i="4"/>
  <c r="Y68" i="4" l="1"/>
  <c r="Z62" i="4"/>
  <c r="Z60" i="4"/>
  <c r="Z42" i="4"/>
  <c r="AA37" i="4"/>
  <c r="Z68" i="4" l="1"/>
  <c r="B72" i="4" s="1"/>
  <c r="B74" i="4" s="1"/>
  <c r="AA61" i="4"/>
  <c r="AA62" i="4" s="1"/>
  <c r="AA68" i="4" s="1"/>
  <c r="AB37" i="4"/>
  <c r="AA42" i="4"/>
  <c r="E152" i="4" l="1"/>
  <c r="B157" i="4" s="1"/>
  <c r="B106" i="4"/>
  <c r="F155" i="4"/>
  <c r="F156" i="4" s="1"/>
  <c r="E154" i="4"/>
  <c r="B156" i="4" s="1"/>
  <c r="AC37" i="4"/>
  <c r="AB42" i="4"/>
  <c r="AD37" i="4" l="1"/>
  <c r="AC42" i="4"/>
  <c r="AD42" i="4" l="1"/>
  <c r="AE37" i="4"/>
  <c r="AF37" i="4" l="1"/>
  <c r="AF42" i="4" s="1"/>
  <c r="AE42" i="4"/>
  <c r="B46" i="4" l="1"/>
  <c r="B48" i="4" s="1"/>
  <c r="B107" i="4" s="1"/>
  <c r="D387" i="3" l="1"/>
  <c r="D386" i="3"/>
  <c r="D385" i="3"/>
  <c r="D384" i="3"/>
  <c r="D383" i="3"/>
  <c r="B392" i="3"/>
  <c r="V430" i="3"/>
  <c r="F428" i="3"/>
  <c r="G428" i="3" s="1"/>
  <c r="G427" i="3"/>
  <c r="H427" i="3" s="1"/>
  <c r="I427" i="3" s="1"/>
  <c r="J427" i="3" s="1"/>
  <c r="K427" i="3" s="1"/>
  <c r="L427" i="3" s="1"/>
  <c r="M427" i="3" s="1"/>
  <c r="N427" i="3" s="1"/>
  <c r="O427" i="3" s="1"/>
  <c r="P427" i="3" s="1"/>
  <c r="Q427" i="3" s="1"/>
  <c r="R427" i="3" s="1"/>
  <c r="S427" i="3" s="1"/>
  <c r="T427" i="3" s="1"/>
  <c r="U427" i="3" s="1"/>
  <c r="V427" i="3" s="1"/>
  <c r="F416" i="3"/>
  <c r="G417" i="3" s="1"/>
  <c r="G415" i="3"/>
  <c r="H415" i="3" s="1"/>
  <c r="I415" i="3" s="1"/>
  <c r="J415" i="3" s="1"/>
  <c r="K415" i="3" s="1"/>
  <c r="L415" i="3" s="1"/>
  <c r="M415" i="3" s="1"/>
  <c r="N415" i="3" s="1"/>
  <c r="O415" i="3" s="1"/>
  <c r="P415" i="3" s="1"/>
  <c r="F407" i="3"/>
  <c r="G407" i="3" s="1"/>
  <c r="F406" i="3"/>
  <c r="F405" i="3"/>
  <c r="G405" i="3" s="1"/>
  <c r="H405" i="3" s="1"/>
  <c r="I405" i="3" s="1"/>
  <c r="J405" i="3" s="1"/>
  <c r="F404" i="3"/>
  <c r="F403" i="3"/>
  <c r="G403" i="3" s="1"/>
  <c r="F402" i="3"/>
  <c r="G402" i="3" s="1"/>
  <c r="H402" i="3" s="1"/>
  <c r="F401" i="3"/>
  <c r="G401" i="3" s="1"/>
  <c r="H401" i="3" s="1"/>
  <c r="F400" i="3"/>
  <c r="F399" i="3"/>
  <c r="G399" i="3" s="1"/>
  <c r="H399" i="3" s="1"/>
  <c r="I399" i="3" s="1"/>
  <c r="J399" i="3" s="1"/>
  <c r="K399" i="3" s="1"/>
  <c r="L399" i="3" s="1"/>
  <c r="F398" i="3"/>
  <c r="G398" i="3" s="1"/>
  <c r="H398" i="3" s="1"/>
  <c r="I398" i="3" s="1"/>
  <c r="J398" i="3" s="1"/>
  <c r="K398" i="3" s="1"/>
  <c r="F397" i="3"/>
  <c r="G397" i="3" s="1"/>
  <c r="H397" i="3" s="1"/>
  <c r="I397" i="3" s="1"/>
  <c r="G396" i="3"/>
  <c r="H396" i="3" s="1"/>
  <c r="I396" i="3" s="1"/>
  <c r="J396" i="3" s="1"/>
  <c r="K396" i="3" s="1"/>
  <c r="L396" i="3" s="1"/>
  <c r="M396" i="3" s="1"/>
  <c r="B185" i="3"/>
  <c r="F202" i="3" s="1"/>
  <c r="I180" i="3"/>
  <c r="J180" i="3" s="1"/>
  <c r="K180" i="3" s="1"/>
  <c r="L180" i="3" s="1"/>
  <c r="M180" i="3" s="1"/>
  <c r="N180" i="3" s="1"/>
  <c r="O180" i="3" s="1"/>
  <c r="P180" i="3" s="1"/>
  <c r="Q180" i="3" s="1"/>
  <c r="R180" i="3" s="1"/>
  <c r="S180" i="3" s="1"/>
  <c r="T180" i="3" s="1"/>
  <c r="U180" i="3" s="1"/>
  <c r="V180" i="3" s="1"/>
  <c r="W180" i="3" s="1"/>
  <c r="X180" i="3" s="1"/>
  <c r="Y180" i="3" s="1"/>
  <c r="Z180" i="3" s="1"/>
  <c r="AA180" i="3" s="1"/>
  <c r="AB180" i="3" s="1"/>
  <c r="AC180" i="3" s="1"/>
  <c r="AD180" i="3" s="1"/>
  <c r="AE180" i="3" s="1"/>
  <c r="AF180" i="3" s="1"/>
  <c r="AG180" i="3" s="1"/>
  <c r="AH180" i="3" s="1"/>
  <c r="S365" i="3"/>
  <c r="S363" i="3"/>
  <c r="S361" i="3"/>
  <c r="S359" i="3"/>
  <c r="S357" i="3"/>
  <c r="S355" i="3"/>
  <c r="S353" i="3"/>
  <c r="S351" i="3"/>
  <c r="S349" i="3"/>
  <c r="S347" i="3"/>
  <c r="S345" i="3"/>
  <c r="S333" i="3"/>
  <c r="S331" i="3"/>
  <c r="S329" i="3"/>
  <c r="S327" i="3"/>
  <c r="S325" i="3"/>
  <c r="S323" i="3"/>
  <c r="S321" i="3"/>
  <c r="S319" i="3"/>
  <c r="S317" i="3"/>
  <c r="S315" i="3"/>
  <c r="S313" i="3"/>
  <c r="S302" i="3"/>
  <c r="D302" i="3"/>
  <c r="D333" i="3" s="1"/>
  <c r="D365" i="3" s="1"/>
  <c r="S300" i="3"/>
  <c r="D300" i="3"/>
  <c r="D331" i="3" s="1"/>
  <c r="D363" i="3" s="1"/>
  <c r="S298" i="3"/>
  <c r="D298" i="3"/>
  <c r="D329" i="3" s="1"/>
  <c r="D361" i="3" s="1"/>
  <c r="S296" i="3"/>
  <c r="D296" i="3"/>
  <c r="D327" i="3" s="1"/>
  <c r="D359" i="3" s="1"/>
  <c r="S294" i="3"/>
  <c r="D294" i="3"/>
  <c r="D325" i="3" s="1"/>
  <c r="D357" i="3" s="1"/>
  <c r="S292" i="3"/>
  <c r="D292" i="3"/>
  <c r="D323" i="3" s="1"/>
  <c r="D355" i="3" s="1"/>
  <c r="S290" i="3"/>
  <c r="D290" i="3"/>
  <c r="D321" i="3" s="1"/>
  <c r="D353" i="3" s="1"/>
  <c r="S288" i="3"/>
  <c r="D288" i="3"/>
  <c r="D319" i="3" s="1"/>
  <c r="D351" i="3" s="1"/>
  <c r="S286" i="3"/>
  <c r="D286" i="3"/>
  <c r="D317" i="3" s="1"/>
  <c r="D349" i="3" s="1"/>
  <c r="S284" i="3"/>
  <c r="D284" i="3"/>
  <c r="D315" i="3" s="1"/>
  <c r="D347" i="3" s="1"/>
  <c r="S282" i="3"/>
  <c r="D282" i="3"/>
  <c r="D313" i="3" s="1"/>
  <c r="B276" i="3"/>
  <c r="AH272" i="3"/>
  <c r="AH365" i="3" s="1"/>
  <c r="AG272" i="3"/>
  <c r="AG365" i="3" s="1"/>
  <c r="AF272" i="3"/>
  <c r="AF365" i="3" s="1"/>
  <c r="AE272" i="3"/>
  <c r="AE365" i="3" s="1"/>
  <c r="AD272" i="3"/>
  <c r="AD365" i="3" s="1"/>
  <c r="AC272" i="3"/>
  <c r="AC365" i="3" s="1"/>
  <c r="AB272" i="3"/>
  <c r="AB365" i="3" s="1"/>
  <c r="AA272" i="3"/>
  <c r="AA365" i="3" s="1"/>
  <c r="Z272" i="3"/>
  <c r="Z365" i="3" s="1"/>
  <c r="Y272" i="3"/>
  <c r="Y365" i="3" s="1"/>
  <c r="X272" i="3"/>
  <c r="X365" i="3" s="1"/>
  <c r="W272" i="3"/>
  <c r="W365" i="3" s="1"/>
  <c r="V272" i="3"/>
  <c r="V365" i="3" s="1"/>
  <c r="U272" i="3"/>
  <c r="U365" i="3" s="1"/>
  <c r="T272" i="3"/>
  <c r="T365" i="3" s="1"/>
  <c r="P272" i="3"/>
  <c r="Q272" i="3" s="1"/>
  <c r="O272" i="3"/>
  <c r="F272" i="3"/>
  <c r="AH270" i="3"/>
  <c r="AH363" i="3" s="1"/>
  <c r="AG270" i="3"/>
  <c r="AG363" i="3" s="1"/>
  <c r="AF270" i="3"/>
  <c r="AF363" i="3" s="1"/>
  <c r="AE270" i="3"/>
  <c r="AE363" i="3" s="1"/>
  <c r="AD270" i="3"/>
  <c r="AD363" i="3" s="1"/>
  <c r="AC270" i="3"/>
  <c r="AC363" i="3" s="1"/>
  <c r="AB270" i="3"/>
  <c r="AB363" i="3" s="1"/>
  <c r="AA270" i="3"/>
  <c r="AA363" i="3" s="1"/>
  <c r="Z270" i="3"/>
  <c r="Z363" i="3" s="1"/>
  <c r="Y270" i="3"/>
  <c r="Y363" i="3" s="1"/>
  <c r="X270" i="3"/>
  <c r="X363" i="3" s="1"/>
  <c r="W270" i="3"/>
  <c r="W363" i="3" s="1"/>
  <c r="V270" i="3"/>
  <c r="V363" i="3" s="1"/>
  <c r="U270" i="3"/>
  <c r="U363" i="3" s="1"/>
  <c r="T270" i="3"/>
  <c r="T363" i="3" s="1"/>
  <c r="O270" i="3"/>
  <c r="P270" i="3" s="1"/>
  <c r="Q270" i="3" s="1"/>
  <c r="N270" i="3"/>
  <c r="F270" i="3"/>
  <c r="AH268" i="3"/>
  <c r="AH361" i="3" s="1"/>
  <c r="AG268" i="3"/>
  <c r="AG361" i="3" s="1"/>
  <c r="AF268" i="3"/>
  <c r="AF361" i="3" s="1"/>
  <c r="AE268" i="3"/>
  <c r="AE361" i="3" s="1"/>
  <c r="AD268" i="3"/>
  <c r="AD361" i="3" s="1"/>
  <c r="AC268" i="3"/>
  <c r="AC361" i="3" s="1"/>
  <c r="AB268" i="3"/>
  <c r="AB361" i="3" s="1"/>
  <c r="AA268" i="3"/>
  <c r="AA361" i="3" s="1"/>
  <c r="Z268" i="3"/>
  <c r="Z361" i="3" s="1"/>
  <c r="Y268" i="3"/>
  <c r="Y361" i="3" s="1"/>
  <c r="X268" i="3"/>
  <c r="X361" i="3" s="1"/>
  <c r="W268" i="3"/>
  <c r="W361" i="3" s="1"/>
  <c r="V268" i="3"/>
  <c r="V361" i="3" s="1"/>
  <c r="U268" i="3"/>
  <c r="U361" i="3" s="1"/>
  <c r="T268" i="3"/>
  <c r="T361" i="3" s="1"/>
  <c r="N268" i="3"/>
  <c r="O268" i="3" s="1"/>
  <c r="P268" i="3" s="1"/>
  <c r="Q268" i="3" s="1"/>
  <c r="M268" i="3"/>
  <c r="R268" i="3" s="1"/>
  <c r="F268" i="3"/>
  <c r="AH266" i="3"/>
  <c r="AH359" i="3" s="1"/>
  <c r="AG266" i="3"/>
  <c r="AG359" i="3" s="1"/>
  <c r="AF266" i="3"/>
  <c r="AF359" i="3" s="1"/>
  <c r="AE266" i="3"/>
  <c r="AE359" i="3" s="1"/>
  <c r="AD266" i="3"/>
  <c r="AD359" i="3" s="1"/>
  <c r="AC266" i="3"/>
  <c r="AC359" i="3" s="1"/>
  <c r="AB266" i="3"/>
  <c r="AB359" i="3" s="1"/>
  <c r="AA266" i="3"/>
  <c r="AA359" i="3" s="1"/>
  <c r="Z266" i="3"/>
  <c r="Z359" i="3" s="1"/>
  <c r="Y266" i="3"/>
  <c r="Y359" i="3" s="1"/>
  <c r="X266" i="3"/>
  <c r="X359" i="3" s="1"/>
  <c r="W266" i="3"/>
  <c r="W359" i="3" s="1"/>
  <c r="V266" i="3"/>
  <c r="V359" i="3" s="1"/>
  <c r="U266" i="3"/>
  <c r="U359" i="3" s="1"/>
  <c r="T266" i="3"/>
  <c r="T359" i="3" s="1"/>
  <c r="I266" i="3"/>
  <c r="J266" i="3" s="1"/>
  <c r="K266" i="3" s="1"/>
  <c r="L266" i="3" s="1"/>
  <c r="M266" i="3" s="1"/>
  <c r="N266" i="3" s="1"/>
  <c r="O266" i="3" s="1"/>
  <c r="P266" i="3" s="1"/>
  <c r="Q266" i="3" s="1"/>
  <c r="F266" i="3"/>
  <c r="AH264" i="3"/>
  <c r="AH357" i="3" s="1"/>
  <c r="AG264" i="3"/>
  <c r="AG357" i="3" s="1"/>
  <c r="AF264" i="3"/>
  <c r="AF357" i="3" s="1"/>
  <c r="AE264" i="3"/>
  <c r="AE357" i="3" s="1"/>
  <c r="AD264" i="3"/>
  <c r="AD357" i="3" s="1"/>
  <c r="AC264" i="3"/>
  <c r="AC357" i="3" s="1"/>
  <c r="AB264" i="3"/>
  <c r="AB357" i="3" s="1"/>
  <c r="AA264" i="3"/>
  <c r="AA357" i="3" s="1"/>
  <c r="Z264" i="3"/>
  <c r="Z357" i="3" s="1"/>
  <c r="Y264" i="3"/>
  <c r="Y357" i="3" s="1"/>
  <c r="X264" i="3"/>
  <c r="X357" i="3" s="1"/>
  <c r="W264" i="3"/>
  <c r="W357" i="3" s="1"/>
  <c r="V264" i="3"/>
  <c r="V357" i="3" s="1"/>
  <c r="U264" i="3"/>
  <c r="U357" i="3" s="1"/>
  <c r="T264" i="3"/>
  <c r="T357" i="3" s="1"/>
  <c r="P264" i="3"/>
  <c r="Q264" i="3" s="1"/>
  <c r="O264" i="3"/>
  <c r="F264" i="3"/>
  <c r="AH262" i="3"/>
  <c r="AH355" i="3" s="1"/>
  <c r="AG262" i="3"/>
  <c r="AG355" i="3" s="1"/>
  <c r="AF262" i="3"/>
  <c r="AF355" i="3" s="1"/>
  <c r="AE262" i="3"/>
  <c r="AE355" i="3" s="1"/>
  <c r="AD262" i="3"/>
  <c r="AD355" i="3" s="1"/>
  <c r="AC262" i="3"/>
  <c r="AC355" i="3" s="1"/>
  <c r="AB262" i="3"/>
  <c r="AB355" i="3" s="1"/>
  <c r="AA262" i="3"/>
  <c r="AA355" i="3" s="1"/>
  <c r="Z262" i="3"/>
  <c r="Z355" i="3" s="1"/>
  <c r="Y262" i="3"/>
  <c r="Y355" i="3" s="1"/>
  <c r="X262" i="3"/>
  <c r="X355" i="3" s="1"/>
  <c r="W262" i="3"/>
  <c r="W355" i="3" s="1"/>
  <c r="V262" i="3"/>
  <c r="V355" i="3" s="1"/>
  <c r="U262" i="3"/>
  <c r="U355" i="3" s="1"/>
  <c r="T262" i="3"/>
  <c r="T355" i="3" s="1"/>
  <c r="L262" i="3"/>
  <c r="M262" i="3" s="1"/>
  <c r="N262" i="3" s="1"/>
  <c r="O262" i="3" s="1"/>
  <c r="P262" i="3" s="1"/>
  <c r="Q262" i="3" s="1"/>
  <c r="K262" i="3"/>
  <c r="F262" i="3"/>
  <c r="AH260" i="3"/>
  <c r="AH353" i="3" s="1"/>
  <c r="AG260" i="3"/>
  <c r="AG353" i="3" s="1"/>
  <c r="AF260" i="3"/>
  <c r="AF353" i="3" s="1"/>
  <c r="AE260" i="3"/>
  <c r="AE353" i="3" s="1"/>
  <c r="AD260" i="3"/>
  <c r="AD353" i="3" s="1"/>
  <c r="AC260" i="3"/>
  <c r="AC353" i="3" s="1"/>
  <c r="AB260" i="3"/>
  <c r="AB353" i="3" s="1"/>
  <c r="AA260" i="3"/>
  <c r="AA353" i="3" s="1"/>
  <c r="Z260" i="3"/>
  <c r="Z353" i="3" s="1"/>
  <c r="Y260" i="3"/>
  <c r="Y353" i="3" s="1"/>
  <c r="X260" i="3"/>
  <c r="X353" i="3" s="1"/>
  <c r="W260" i="3"/>
  <c r="W353" i="3" s="1"/>
  <c r="V260" i="3"/>
  <c r="V353" i="3" s="1"/>
  <c r="U260" i="3"/>
  <c r="U353" i="3" s="1"/>
  <c r="T260" i="3"/>
  <c r="T353" i="3" s="1"/>
  <c r="R260" i="3"/>
  <c r="L260" i="3"/>
  <c r="M260" i="3" s="1"/>
  <c r="N260" i="3" s="1"/>
  <c r="O260" i="3" s="1"/>
  <c r="P260" i="3" s="1"/>
  <c r="Q260" i="3" s="1"/>
  <c r="F260" i="3"/>
  <c r="AH258" i="3"/>
  <c r="AH351" i="3" s="1"/>
  <c r="AG258" i="3"/>
  <c r="AG351" i="3" s="1"/>
  <c r="AF258" i="3"/>
  <c r="AF351" i="3" s="1"/>
  <c r="AE258" i="3"/>
  <c r="AE351" i="3" s="1"/>
  <c r="AD258" i="3"/>
  <c r="AD351" i="3" s="1"/>
  <c r="AC258" i="3"/>
  <c r="AC351" i="3" s="1"/>
  <c r="AB258" i="3"/>
  <c r="AB351" i="3" s="1"/>
  <c r="AA258" i="3"/>
  <c r="AA351" i="3" s="1"/>
  <c r="Z258" i="3"/>
  <c r="Z351" i="3" s="1"/>
  <c r="Y258" i="3"/>
  <c r="Y351" i="3" s="1"/>
  <c r="X258" i="3"/>
  <c r="X351" i="3" s="1"/>
  <c r="W258" i="3"/>
  <c r="W351" i="3" s="1"/>
  <c r="V258" i="3"/>
  <c r="V351" i="3" s="1"/>
  <c r="U258" i="3"/>
  <c r="U351" i="3" s="1"/>
  <c r="T258" i="3"/>
  <c r="T351" i="3" s="1"/>
  <c r="M258" i="3"/>
  <c r="N258" i="3" s="1"/>
  <c r="F258" i="3"/>
  <c r="AH256" i="3"/>
  <c r="AH349" i="3" s="1"/>
  <c r="AG256" i="3"/>
  <c r="AG349" i="3" s="1"/>
  <c r="AF256" i="3"/>
  <c r="AF349" i="3" s="1"/>
  <c r="AE256" i="3"/>
  <c r="AE349" i="3" s="1"/>
  <c r="AD256" i="3"/>
  <c r="AD349" i="3" s="1"/>
  <c r="AC256" i="3"/>
  <c r="AC349" i="3" s="1"/>
  <c r="AB256" i="3"/>
  <c r="AB349" i="3" s="1"/>
  <c r="AA256" i="3"/>
  <c r="AA349" i="3" s="1"/>
  <c r="Z256" i="3"/>
  <c r="Z349" i="3" s="1"/>
  <c r="Y256" i="3"/>
  <c r="Y349" i="3" s="1"/>
  <c r="X256" i="3"/>
  <c r="X349" i="3" s="1"/>
  <c r="W256" i="3"/>
  <c r="W349" i="3" s="1"/>
  <c r="V256" i="3"/>
  <c r="V349" i="3" s="1"/>
  <c r="U256" i="3"/>
  <c r="U349" i="3" s="1"/>
  <c r="T256" i="3"/>
  <c r="T349" i="3" s="1"/>
  <c r="P256" i="3"/>
  <c r="Q256" i="3" s="1"/>
  <c r="O256" i="3"/>
  <c r="R256" i="3" s="1"/>
  <c r="F256" i="3"/>
  <c r="AH254" i="3"/>
  <c r="AH347" i="3" s="1"/>
  <c r="AG254" i="3"/>
  <c r="AG347" i="3" s="1"/>
  <c r="AF254" i="3"/>
  <c r="AF347" i="3" s="1"/>
  <c r="AE254" i="3"/>
  <c r="AE347" i="3" s="1"/>
  <c r="AD254" i="3"/>
  <c r="AD347" i="3" s="1"/>
  <c r="AC254" i="3"/>
  <c r="AC347" i="3" s="1"/>
  <c r="AB254" i="3"/>
  <c r="AB347" i="3" s="1"/>
  <c r="AA254" i="3"/>
  <c r="AA347" i="3" s="1"/>
  <c r="Z254" i="3"/>
  <c r="Z347" i="3" s="1"/>
  <c r="Y254" i="3"/>
  <c r="Y347" i="3" s="1"/>
  <c r="X254" i="3"/>
  <c r="X347" i="3" s="1"/>
  <c r="W254" i="3"/>
  <c r="W347" i="3" s="1"/>
  <c r="V254" i="3"/>
  <c r="V347" i="3" s="1"/>
  <c r="U254" i="3"/>
  <c r="U347" i="3" s="1"/>
  <c r="T254" i="3"/>
  <c r="T347" i="3" s="1"/>
  <c r="O254" i="3"/>
  <c r="P254" i="3" s="1"/>
  <c r="Q254" i="3" s="1"/>
  <c r="N254" i="3"/>
  <c r="R254" i="3" s="1"/>
  <c r="F254" i="3"/>
  <c r="AH252" i="3"/>
  <c r="AH345" i="3" s="1"/>
  <c r="AG252" i="3"/>
  <c r="AG345" i="3" s="1"/>
  <c r="AF252" i="3"/>
  <c r="AF345" i="3" s="1"/>
  <c r="AE252" i="3"/>
  <c r="AE345" i="3" s="1"/>
  <c r="AD252" i="3"/>
  <c r="AD345" i="3" s="1"/>
  <c r="AC252" i="3"/>
  <c r="AC345" i="3" s="1"/>
  <c r="AB252" i="3"/>
  <c r="AB345" i="3" s="1"/>
  <c r="AA252" i="3"/>
  <c r="AA345" i="3" s="1"/>
  <c r="Z252" i="3"/>
  <c r="Z345" i="3" s="1"/>
  <c r="Y252" i="3"/>
  <c r="Y345" i="3" s="1"/>
  <c r="X252" i="3"/>
  <c r="X345" i="3" s="1"/>
  <c r="W252" i="3"/>
  <c r="W345" i="3" s="1"/>
  <c r="V252" i="3"/>
  <c r="V345" i="3" s="1"/>
  <c r="U252" i="3"/>
  <c r="U345" i="3" s="1"/>
  <c r="T252" i="3"/>
  <c r="T345" i="3" s="1"/>
  <c r="P252" i="3"/>
  <c r="Q252" i="3" s="1"/>
  <c r="O252" i="3"/>
  <c r="F252" i="3"/>
  <c r="B244" i="3"/>
  <c r="AH240" i="3"/>
  <c r="AH333" i="3" s="1"/>
  <c r="AG240" i="3"/>
  <c r="AG333" i="3" s="1"/>
  <c r="AF240" i="3"/>
  <c r="AF333" i="3" s="1"/>
  <c r="AE240" i="3"/>
  <c r="AE333" i="3" s="1"/>
  <c r="AD240" i="3"/>
  <c r="AD333" i="3" s="1"/>
  <c r="AC240" i="3"/>
  <c r="AC333" i="3" s="1"/>
  <c r="AB240" i="3"/>
  <c r="AB333" i="3" s="1"/>
  <c r="AA240" i="3"/>
  <c r="AA333" i="3" s="1"/>
  <c r="Z240" i="3"/>
  <c r="Z333" i="3" s="1"/>
  <c r="Y240" i="3"/>
  <c r="Y333" i="3" s="1"/>
  <c r="X240" i="3"/>
  <c r="X333" i="3" s="1"/>
  <c r="W240" i="3"/>
  <c r="W333" i="3" s="1"/>
  <c r="V240" i="3"/>
  <c r="V333" i="3" s="1"/>
  <c r="U240" i="3"/>
  <c r="U333" i="3" s="1"/>
  <c r="T240" i="3"/>
  <c r="T333" i="3" s="1"/>
  <c r="P240" i="3"/>
  <c r="Q240" i="3" s="1"/>
  <c r="O240" i="3"/>
  <c r="F240" i="3"/>
  <c r="AH238" i="3"/>
  <c r="AH331" i="3" s="1"/>
  <c r="AG238" i="3"/>
  <c r="AG331" i="3" s="1"/>
  <c r="AF238" i="3"/>
  <c r="AF331" i="3" s="1"/>
  <c r="AE238" i="3"/>
  <c r="AE331" i="3" s="1"/>
  <c r="AD238" i="3"/>
  <c r="AD331" i="3" s="1"/>
  <c r="AC238" i="3"/>
  <c r="AC331" i="3" s="1"/>
  <c r="AB238" i="3"/>
  <c r="AB331" i="3" s="1"/>
  <c r="AA238" i="3"/>
  <c r="AA331" i="3" s="1"/>
  <c r="Z238" i="3"/>
  <c r="Z331" i="3" s="1"/>
  <c r="Y238" i="3"/>
  <c r="Y331" i="3" s="1"/>
  <c r="X238" i="3"/>
  <c r="X331" i="3" s="1"/>
  <c r="W238" i="3"/>
  <c r="W331" i="3" s="1"/>
  <c r="V238" i="3"/>
  <c r="V331" i="3" s="1"/>
  <c r="U238" i="3"/>
  <c r="U331" i="3" s="1"/>
  <c r="T238" i="3"/>
  <c r="T331" i="3" s="1"/>
  <c r="O238" i="3"/>
  <c r="P238" i="3" s="1"/>
  <c r="Q238" i="3" s="1"/>
  <c r="N238" i="3"/>
  <c r="R238" i="3" s="1"/>
  <c r="F238" i="3"/>
  <c r="AH236" i="3"/>
  <c r="AH329" i="3" s="1"/>
  <c r="AG236" i="3"/>
  <c r="AG329" i="3" s="1"/>
  <c r="AF236" i="3"/>
  <c r="AF329" i="3" s="1"/>
  <c r="AE236" i="3"/>
  <c r="AE329" i="3" s="1"/>
  <c r="AD236" i="3"/>
  <c r="AD329" i="3" s="1"/>
  <c r="AC236" i="3"/>
  <c r="AC329" i="3" s="1"/>
  <c r="AB236" i="3"/>
  <c r="AB329" i="3" s="1"/>
  <c r="AA236" i="3"/>
  <c r="AA329" i="3" s="1"/>
  <c r="Z236" i="3"/>
  <c r="Z329" i="3" s="1"/>
  <c r="Y236" i="3"/>
  <c r="Y329" i="3" s="1"/>
  <c r="X236" i="3"/>
  <c r="X329" i="3" s="1"/>
  <c r="W236" i="3"/>
  <c r="W329" i="3" s="1"/>
  <c r="V236" i="3"/>
  <c r="V329" i="3" s="1"/>
  <c r="U236" i="3"/>
  <c r="U329" i="3" s="1"/>
  <c r="T236" i="3"/>
  <c r="T329" i="3" s="1"/>
  <c r="N236" i="3"/>
  <c r="O236" i="3" s="1"/>
  <c r="P236" i="3" s="1"/>
  <c r="Q236" i="3" s="1"/>
  <c r="M236" i="3"/>
  <c r="R236" i="3" s="1"/>
  <c r="F236" i="3"/>
  <c r="AH234" i="3"/>
  <c r="AH327" i="3" s="1"/>
  <c r="AG234" i="3"/>
  <c r="AG327" i="3" s="1"/>
  <c r="AF234" i="3"/>
  <c r="AF327" i="3" s="1"/>
  <c r="AE234" i="3"/>
  <c r="AE327" i="3" s="1"/>
  <c r="AD234" i="3"/>
  <c r="AD327" i="3" s="1"/>
  <c r="AC234" i="3"/>
  <c r="AC327" i="3" s="1"/>
  <c r="AB234" i="3"/>
  <c r="AB327" i="3" s="1"/>
  <c r="AA234" i="3"/>
  <c r="AA327" i="3" s="1"/>
  <c r="Z234" i="3"/>
  <c r="Z327" i="3" s="1"/>
  <c r="Y234" i="3"/>
  <c r="Y327" i="3" s="1"/>
  <c r="X234" i="3"/>
  <c r="X327" i="3" s="1"/>
  <c r="W234" i="3"/>
  <c r="W327" i="3" s="1"/>
  <c r="V234" i="3"/>
  <c r="V327" i="3" s="1"/>
  <c r="U234" i="3"/>
  <c r="U327" i="3" s="1"/>
  <c r="T234" i="3"/>
  <c r="T327" i="3" s="1"/>
  <c r="I234" i="3"/>
  <c r="J234" i="3" s="1"/>
  <c r="K234" i="3" s="1"/>
  <c r="L234" i="3" s="1"/>
  <c r="M234" i="3" s="1"/>
  <c r="N234" i="3" s="1"/>
  <c r="O234" i="3" s="1"/>
  <c r="P234" i="3" s="1"/>
  <c r="Q234" i="3" s="1"/>
  <c r="F234" i="3"/>
  <c r="AH232" i="3"/>
  <c r="AH325" i="3" s="1"/>
  <c r="AG232" i="3"/>
  <c r="AG325" i="3" s="1"/>
  <c r="AF232" i="3"/>
  <c r="AF325" i="3" s="1"/>
  <c r="AE232" i="3"/>
  <c r="AE325" i="3" s="1"/>
  <c r="AD232" i="3"/>
  <c r="AD325" i="3" s="1"/>
  <c r="AC232" i="3"/>
  <c r="AC325" i="3" s="1"/>
  <c r="AB232" i="3"/>
  <c r="AB325" i="3" s="1"/>
  <c r="AA232" i="3"/>
  <c r="AA325" i="3" s="1"/>
  <c r="Z232" i="3"/>
  <c r="Z325" i="3" s="1"/>
  <c r="Y232" i="3"/>
  <c r="Y325" i="3" s="1"/>
  <c r="X232" i="3"/>
  <c r="X325" i="3" s="1"/>
  <c r="W232" i="3"/>
  <c r="W325" i="3" s="1"/>
  <c r="V232" i="3"/>
  <c r="V325" i="3" s="1"/>
  <c r="U232" i="3"/>
  <c r="U325" i="3" s="1"/>
  <c r="T232" i="3"/>
  <c r="T325" i="3" s="1"/>
  <c r="P232" i="3"/>
  <c r="Q232" i="3" s="1"/>
  <c r="O232" i="3"/>
  <c r="F232" i="3"/>
  <c r="AH230" i="3"/>
  <c r="AH323" i="3" s="1"/>
  <c r="AG230" i="3"/>
  <c r="AG323" i="3" s="1"/>
  <c r="AF230" i="3"/>
  <c r="AF323" i="3" s="1"/>
  <c r="AE230" i="3"/>
  <c r="AE323" i="3" s="1"/>
  <c r="AD230" i="3"/>
  <c r="AD323" i="3" s="1"/>
  <c r="AC230" i="3"/>
  <c r="AC323" i="3" s="1"/>
  <c r="AB230" i="3"/>
  <c r="AB323" i="3" s="1"/>
  <c r="AA230" i="3"/>
  <c r="AA323" i="3" s="1"/>
  <c r="Z230" i="3"/>
  <c r="Z323" i="3" s="1"/>
  <c r="Y230" i="3"/>
  <c r="Y323" i="3" s="1"/>
  <c r="X230" i="3"/>
  <c r="X323" i="3" s="1"/>
  <c r="W230" i="3"/>
  <c r="W323" i="3" s="1"/>
  <c r="V230" i="3"/>
  <c r="V323" i="3" s="1"/>
  <c r="U230" i="3"/>
  <c r="U323" i="3" s="1"/>
  <c r="T230" i="3"/>
  <c r="T323" i="3" s="1"/>
  <c r="L230" i="3"/>
  <c r="M230" i="3" s="1"/>
  <c r="N230" i="3" s="1"/>
  <c r="O230" i="3" s="1"/>
  <c r="P230" i="3" s="1"/>
  <c r="Q230" i="3" s="1"/>
  <c r="K230" i="3"/>
  <c r="F230" i="3"/>
  <c r="AH228" i="3"/>
  <c r="AH321" i="3" s="1"/>
  <c r="AG228" i="3"/>
  <c r="AG321" i="3" s="1"/>
  <c r="AF228" i="3"/>
  <c r="AF321" i="3" s="1"/>
  <c r="AE228" i="3"/>
  <c r="AE321" i="3" s="1"/>
  <c r="AD228" i="3"/>
  <c r="AD321" i="3" s="1"/>
  <c r="AC228" i="3"/>
  <c r="AC321" i="3" s="1"/>
  <c r="AB228" i="3"/>
  <c r="AB321" i="3" s="1"/>
  <c r="AA228" i="3"/>
  <c r="AA321" i="3" s="1"/>
  <c r="Z228" i="3"/>
  <c r="Z321" i="3" s="1"/>
  <c r="Y228" i="3"/>
  <c r="Y321" i="3" s="1"/>
  <c r="X228" i="3"/>
  <c r="X321" i="3" s="1"/>
  <c r="W228" i="3"/>
  <c r="W321" i="3" s="1"/>
  <c r="V228" i="3"/>
  <c r="V321" i="3" s="1"/>
  <c r="U228" i="3"/>
  <c r="U321" i="3" s="1"/>
  <c r="T228" i="3"/>
  <c r="T321" i="3" s="1"/>
  <c r="R228" i="3"/>
  <c r="L228" i="3"/>
  <c r="M228" i="3" s="1"/>
  <c r="F228" i="3"/>
  <c r="AH226" i="3"/>
  <c r="AH319" i="3" s="1"/>
  <c r="AG226" i="3"/>
  <c r="AG319" i="3" s="1"/>
  <c r="AF226" i="3"/>
  <c r="AF319" i="3" s="1"/>
  <c r="AE226" i="3"/>
  <c r="AE319" i="3" s="1"/>
  <c r="AD226" i="3"/>
  <c r="AD319" i="3" s="1"/>
  <c r="AC226" i="3"/>
  <c r="AC319" i="3" s="1"/>
  <c r="AB226" i="3"/>
  <c r="AB319" i="3" s="1"/>
  <c r="AA226" i="3"/>
  <c r="AA319" i="3" s="1"/>
  <c r="Z226" i="3"/>
  <c r="Z319" i="3" s="1"/>
  <c r="Y226" i="3"/>
  <c r="Y319" i="3" s="1"/>
  <c r="X226" i="3"/>
  <c r="X319" i="3" s="1"/>
  <c r="W226" i="3"/>
  <c r="W319" i="3" s="1"/>
  <c r="V226" i="3"/>
  <c r="V319" i="3" s="1"/>
  <c r="U226" i="3"/>
  <c r="U319" i="3" s="1"/>
  <c r="T226" i="3"/>
  <c r="T319" i="3" s="1"/>
  <c r="M226" i="3"/>
  <c r="N226" i="3" s="1"/>
  <c r="O226" i="3" s="1"/>
  <c r="F226" i="3"/>
  <c r="AH224" i="3"/>
  <c r="AH317" i="3" s="1"/>
  <c r="AG224" i="3"/>
  <c r="AG317" i="3" s="1"/>
  <c r="AF224" i="3"/>
  <c r="AF317" i="3" s="1"/>
  <c r="AE224" i="3"/>
  <c r="AE317" i="3" s="1"/>
  <c r="AD224" i="3"/>
  <c r="AD317" i="3" s="1"/>
  <c r="AC224" i="3"/>
  <c r="AC317" i="3" s="1"/>
  <c r="AB224" i="3"/>
  <c r="AB317" i="3" s="1"/>
  <c r="AA224" i="3"/>
  <c r="AA317" i="3" s="1"/>
  <c r="Z224" i="3"/>
  <c r="Z317" i="3" s="1"/>
  <c r="Y224" i="3"/>
  <c r="Y317" i="3" s="1"/>
  <c r="X224" i="3"/>
  <c r="X317" i="3" s="1"/>
  <c r="W224" i="3"/>
  <c r="W317" i="3" s="1"/>
  <c r="V224" i="3"/>
  <c r="V317" i="3" s="1"/>
  <c r="U224" i="3"/>
  <c r="U317" i="3" s="1"/>
  <c r="T224" i="3"/>
  <c r="T317" i="3" s="1"/>
  <c r="P224" i="3"/>
  <c r="Q224" i="3" s="1"/>
  <c r="O224" i="3"/>
  <c r="F224" i="3"/>
  <c r="AH222" i="3"/>
  <c r="AH315" i="3" s="1"/>
  <c r="AG222" i="3"/>
  <c r="AG315" i="3" s="1"/>
  <c r="AF222" i="3"/>
  <c r="AF315" i="3" s="1"/>
  <c r="AE222" i="3"/>
  <c r="AE315" i="3" s="1"/>
  <c r="AD222" i="3"/>
  <c r="AD315" i="3" s="1"/>
  <c r="AC222" i="3"/>
  <c r="AC315" i="3" s="1"/>
  <c r="AB222" i="3"/>
  <c r="AB315" i="3" s="1"/>
  <c r="AA222" i="3"/>
  <c r="AA315" i="3" s="1"/>
  <c r="Z222" i="3"/>
  <c r="Z315" i="3" s="1"/>
  <c r="Y222" i="3"/>
  <c r="Y315" i="3" s="1"/>
  <c r="X222" i="3"/>
  <c r="X315" i="3" s="1"/>
  <c r="W222" i="3"/>
  <c r="W315" i="3" s="1"/>
  <c r="V222" i="3"/>
  <c r="V315" i="3" s="1"/>
  <c r="U222" i="3"/>
  <c r="U315" i="3" s="1"/>
  <c r="T222" i="3"/>
  <c r="T315" i="3" s="1"/>
  <c r="O222" i="3"/>
  <c r="P222" i="3" s="1"/>
  <c r="N222" i="3"/>
  <c r="R222" i="3" s="1"/>
  <c r="F222" i="3"/>
  <c r="AH220" i="3"/>
  <c r="AH313" i="3" s="1"/>
  <c r="AG220" i="3"/>
  <c r="AG313" i="3" s="1"/>
  <c r="AF220" i="3"/>
  <c r="AF313" i="3" s="1"/>
  <c r="AE220" i="3"/>
  <c r="AE313" i="3" s="1"/>
  <c r="AD220" i="3"/>
  <c r="AD313" i="3" s="1"/>
  <c r="AC220" i="3"/>
  <c r="AC313" i="3" s="1"/>
  <c r="AB220" i="3"/>
  <c r="AB313" i="3" s="1"/>
  <c r="AA220" i="3"/>
  <c r="AA313" i="3" s="1"/>
  <c r="Z220" i="3"/>
  <c r="Z313" i="3" s="1"/>
  <c r="Y220" i="3"/>
  <c r="Y313" i="3" s="1"/>
  <c r="X220" i="3"/>
  <c r="X313" i="3" s="1"/>
  <c r="W220" i="3"/>
  <c r="W313" i="3" s="1"/>
  <c r="V220" i="3"/>
  <c r="V313" i="3" s="1"/>
  <c r="U220" i="3"/>
  <c r="U313" i="3" s="1"/>
  <c r="T220" i="3"/>
  <c r="T313" i="3" s="1"/>
  <c r="P220" i="3"/>
  <c r="Q220" i="3" s="1"/>
  <c r="O220" i="3"/>
  <c r="F220" i="3"/>
  <c r="AH208" i="3"/>
  <c r="AH302" i="3" s="1"/>
  <c r="AG208" i="3"/>
  <c r="AG302" i="3" s="1"/>
  <c r="AF208" i="3"/>
  <c r="AF302" i="3" s="1"/>
  <c r="AE208" i="3"/>
  <c r="AE302" i="3" s="1"/>
  <c r="AD208" i="3"/>
  <c r="AD302" i="3" s="1"/>
  <c r="AC208" i="3"/>
  <c r="AC302" i="3" s="1"/>
  <c r="AB208" i="3"/>
  <c r="AB302" i="3" s="1"/>
  <c r="AA208" i="3"/>
  <c r="AA302" i="3" s="1"/>
  <c r="Z208" i="3"/>
  <c r="Z302" i="3" s="1"/>
  <c r="Y208" i="3"/>
  <c r="Y302" i="3" s="1"/>
  <c r="X208" i="3"/>
  <c r="X302" i="3" s="1"/>
  <c r="W208" i="3"/>
  <c r="W302" i="3" s="1"/>
  <c r="V208" i="3"/>
  <c r="V302" i="3" s="1"/>
  <c r="U208" i="3"/>
  <c r="U302" i="3" s="1"/>
  <c r="T208" i="3"/>
  <c r="T302" i="3" s="1"/>
  <c r="P208" i="3"/>
  <c r="Q208" i="3" s="1"/>
  <c r="O208" i="3"/>
  <c r="AH206" i="3"/>
  <c r="AH300" i="3" s="1"/>
  <c r="AG206" i="3"/>
  <c r="AG300" i="3" s="1"/>
  <c r="AF206" i="3"/>
  <c r="AF300" i="3" s="1"/>
  <c r="AE206" i="3"/>
  <c r="AE300" i="3" s="1"/>
  <c r="AD206" i="3"/>
  <c r="AD300" i="3" s="1"/>
  <c r="AC206" i="3"/>
  <c r="AC300" i="3" s="1"/>
  <c r="AB206" i="3"/>
  <c r="AB300" i="3" s="1"/>
  <c r="AA206" i="3"/>
  <c r="AA300" i="3" s="1"/>
  <c r="Z206" i="3"/>
  <c r="Z300" i="3" s="1"/>
  <c r="Y206" i="3"/>
  <c r="Y300" i="3" s="1"/>
  <c r="X206" i="3"/>
  <c r="X300" i="3" s="1"/>
  <c r="W206" i="3"/>
  <c r="W300" i="3" s="1"/>
  <c r="V206" i="3"/>
  <c r="V300" i="3" s="1"/>
  <c r="U206" i="3"/>
  <c r="U300" i="3" s="1"/>
  <c r="T206" i="3"/>
  <c r="T300" i="3" s="1"/>
  <c r="O206" i="3"/>
  <c r="P206" i="3" s="1"/>
  <c r="Q206" i="3" s="1"/>
  <c r="N206" i="3"/>
  <c r="AH204" i="3"/>
  <c r="AH298" i="3" s="1"/>
  <c r="AG204" i="3"/>
  <c r="AG298" i="3" s="1"/>
  <c r="AF204" i="3"/>
  <c r="AF298" i="3" s="1"/>
  <c r="AE204" i="3"/>
  <c r="AE298" i="3" s="1"/>
  <c r="AD204" i="3"/>
  <c r="AD298" i="3" s="1"/>
  <c r="AC204" i="3"/>
  <c r="AC298" i="3" s="1"/>
  <c r="AB204" i="3"/>
  <c r="AB298" i="3" s="1"/>
  <c r="AA204" i="3"/>
  <c r="AA298" i="3" s="1"/>
  <c r="Z204" i="3"/>
  <c r="Z298" i="3" s="1"/>
  <c r="Y204" i="3"/>
  <c r="Y298" i="3" s="1"/>
  <c r="X204" i="3"/>
  <c r="X298" i="3" s="1"/>
  <c r="W204" i="3"/>
  <c r="W298" i="3" s="1"/>
  <c r="V204" i="3"/>
  <c r="V298" i="3" s="1"/>
  <c r="U204" i="3"/>
  <c r="U298" i="3" s="1"/>
  <c r="T204" i="3"/>
  <c r="T298" i="3" s="1"/>
  <c r="N204" i="3"/>
  <c r="O204" i="3" s="1"/>
  <c r="P204" i="3" s="1"/>
  <c r="Q204" i="3" s="1"/>
  <c r="M204" i="3"/>
  <c r="AH202" i="3"/>
  <c r="AH296" i="3" s="1"/>
  <c r="AG202" i="3"/>
  <c r="AG296" i="3" s="1"/>
  <c r="AF202" i="3"/>
  <c r="AF296" i="3" s="1"/>
  <c r="AE202" i="3"/>
  <c r="AE296" i="3" s="1"/>
  <c r="AD202" i="3"/>
  <c r="AD296" i="3" s="1"/>
  <c r="AC202" i="3"/>
  <c r="AC296" i="3" s="1"/>
  <c r="AB202" i="3"/>
  <c r="AB296" i="3" s="1"/>
  <c r="AA202" i="3"/>
  <c r="AA296" i="3" s="1"/>
  <c r="Z202" i="3"/>
  <c r="Z296" i="3" s="1"/>
  <c r="Y202" i="3"/>
  <c r="Y296" i="3" s="1"/>
  <c r="X202" i="3"/>
  <c r="X296" i="3" s="1"/>
  <c r="W202" i="3"/>
  <c r="W296" i="3" s="1"/>
  <c r="V202" i="3"/>
  <c r="V296" i="3" s="1"/>
  <c r="U202" i="3"/>
  <c r="U296" i="3" s="1"/>
  <c r="T202" i="3"/>
  <c r="T296" i="3" s="1"/>
  <c r="I202" i="3"/>
  <c r="AH200" i="3"/>
  <c r="AH294" i="3" s="1"/>
  <c r="AG200" i="3"/>
  <c r="AG294" i="3" s="1"/>
  <c r="AF200" i="3"/>
  <c r="AF294" i="3" s="1"/>
  <c r="AE200" i="3"/>
  <c r="AE294" i="3" s="1"/>
  <c r="AD200" i="3"/>
  <c r="AD294" i="3" s="1"/>
  <c r="AC200" i="3"/>
  <c r="AC294" i="3" s="1"/>
  <c r="AB200" i="3"/>
  <c r="AB294" i="3" s="1"/>
  <c r="AA200" i="3"/>
  <c r="AA294" i="3" s="1"/>
  <c r="Z200" i="3"/>
  <c r="Z294" i="3" s="1"/>
  <c r="Y200" i="3"/>
  <c r="Y294" i="3" s="1"/>
  <c r="X200" i="3"/>
  <c r="X294" i="3" s="1"/>
  <c r="W200" i="3"/>
  <c r="W294" i="3" s="1"/>
  <c r="V200" i="3"/>
  <c r="V294" i="3" s="1"/>
  <c r="U200" i="3"/>
  <c r="U294" i="3" s="1"/>
  <c r="T200" i="3"/>
  <c r="T294" i="3" s="1"/>
  <c r="P200" i="3"/>
  <c r="Q200" i="3" s="1"/>
  <c r="O200" i="3"/>
  <c r="AH198" i="3"/>
  <c r="AH292" i="3" s="1"/>
  <c r="AG198" i="3"/>
  <c r="AG292" i="3" s="1"/>
  <c r="AF198" i="3"/>
  <c r="AF292" i="3" s="1"/>
  <c r="AE198" i="3"/>
  <c r="AE292" i="3" s="1"/>
  <c r="AD198" i="3"/>
  <c r="AD292" i="3" s="1"/>
  <c r="AC198" i="3"/>
  <c r="AC292" i="3" s="1"/>
  <c r="AB198" i="3"/>
  <c r="AB292" i="3" s="1"/>
  <c r="AA198" i="3"/>
  <c r="AA292" i="3" s="1"/>
  <c r="Z198" i="3"/>
  <c r="Z292" i="3" s="1"/>
  <c r="Y198" i="3"/>
  <c r="Y292" i="3" s="1"/>
  <c r="X198" i="3"/>
  <c r="X292" i="3" s="1"/>
  <c r="W198" i="3"/>
  <c r="W292" i="3" s="1"/>
  <c r="V198" i="3"/>
  <c r="V292" i="3" s="1"/>
  <c r="U198" i="3"/>
  <c r="U292" i="3" s="1"/>
  <c r="T198" i="3"/>
  <c r="T292" i="3" s="1"/>
  <c r="L198" i="3"/>
  <c r="M198" i="3" s="1"/>
  <c r="N198" i="3" s="1"/>
  <c r="O198" i="3" s="1"/>
  <c r="P198" i="3" s="1"/>
  <c r="Q198" i="3" s="1"/>
  <c r="K198" i="3"/>
  <c r="AH196" i="3"/>
  <c r="AH290" i="3" s="1"/>
  <c r="AG196" i="3"/>
  <c r="AG290" i="3" s="1"/>
  <c r="AF196" i="3"/>
  <c r="AF290" i="3" s="1"/>
  <c r="AE196" i="3"/>
  <c r="AE290" i="3" s="1"/>
  <c r="AD196" i="3"/>
  <c r="AD290" i="3" s="1"/>
  <c r="AC196" i="3"/>
  <c r="AC290" i="3" s="1"/>
  <c r="AB196" i="3"/>
  <c r="AB290" i="3" s="1"/>
  <c r="AA196" i="3"/>
  <c r="AA290" i="3" s="1"/>
  <c r="Z196" i="3"/>
  <c r="Z290" i="3" s="1"/>
  <c r="Y196" i="3"/>
  <c r="Y290" i="3" s="1"/>
  <c r="X196" i="3"/>
  <c r="X290" i="3" s="1"/>
  <c r="W196" i="3"/>
  <c r="W290" i="3" s="1"/>
  <c r="V196" i="3"/>
  <c r="V290" i="3" s="1"/>
  <c r="U196" i="3"/>
  <c r="U290" i="3" s="1"/>
  <c r="T196" i="3"/>
  <c r="T290" i="3" s="1"/>
  <c r="R196" i="3"/>
  <c r="L196" i="3"/>
  <c r="M196" i="3" s="1"/>
  <c r="N196" i="3" s="1"/>
  <c r="O196" i="3" s="1"/>
  <c r="P196" i="3" s="1"/>
  <c r="Q196" i="3" s="1"/>
  <c r="AH194" i="3"/>
  <c r="AH288" i="3" s="1"/>
  <c r="AG194" i="3"/>
  <c r="AG288" i="3" s="1"/>
  <c r="AF194" i="3"/>
  <c r="AF288" i="3" s="1"/>
  <c r="AE194" i="3"/>
  <c r="AE288" i="3" s="1"/>
  <c r="AD194" i="3"/>
  <c r="AD288" i="3" s="1"/>
  <c r="AC194" i="3"/>
  <c r="AC288" i="3" s="1"/>
  <c r="AB194" i="3"/>
  <c r="AB288" i="3" s="1"/>
  <c r="AA194" i="3"/>
  <c r="AA288" i="3" s="1"/>
  <c r="Z194" i="3"/>
  <c r="Z288" i="3" s="1"/>
  <c r="Y194" i="3"/>
  <c r="Y288" i="3" s="1"/>
  <c r="X194" i="3"/>
  <c r="X288" i="3" s="1"/>
  <c r="W194" i="3"/>
  <c r="W288" i="3" s="1"/>
  <c r="V194" i="3"/>
  <c r="V288" i="3" s="1"/>
  <c r="U194" i="3"/>
  <c r="U288" i="3" s="1"/>
  <c r="T194" i="3"/>
  <c r="T288" i="3" s="1"/>
  <c r="M194" i="3"/>
  <c r="N194" i="3" s="1"/>
  <c r="O194" i="3" s="1"/>
  <c r="P194" i="3" s="1"/>
  <c r="Q194" i="3" s="1"/>
  <c r="AH192" i="3"/>
  <c r="AH286" i="3" s="1"/>
  <c r="AG192" i="3"/>
  <c r="AG286" i="3" s="1"/>
  <c r="AF192" i="3"/>
  <c r="AF286" i="3" s="1"/>
  <c r="AE192" i="3"/>
  <c r="AE286" i="3" s="1"/>
  <c r="AD192" i="3"/>
  <c r="AD286" i="3" s="1"/>
  <c r="AC192" i="3"/>
  <c r="AC286" i="3" s="1"/>
  <c r="AB192" i="3"/>
  <c r="AB286" i="3" s="1"/>
  <c r="AA192" i="3"/>
  <c r="AA286" i="3" s="1"/>
  <c r="Z192" i="3"/>
  <c r="Z286" i="3" s="1"/>
  <c r="Y192" i="3"/>
  <c r="Y286" i="3" s="1"/>
  <c r="X192" i="3"/>
  <c r="X286" i="3" s="1"/>
  <c r="W192" i="3"/>
  <c r="W286" i="3" s="1"/>
  <c r="V192" i="3"/>
  <c r="V286" i="3" s="1"/>
  <c r="U192" i="3"/>
  <c r="U286" i="3" s="1"/>
  <c r="T192" i="3"/>
  <c r="T286" i="3" s="1"/>
  <c r="P192" i="3"/>
  <c r="Q192" i="3" s="1"/>
  <c r="O192" i="3"/>
  <c r="R192" i="3" s="1"/>
  <c r="AH190" i="3"/>
  <c r="AH284" i="3" s="1"/>
  <c r="AG190" i="3"/>
  <c r="AG284" i="3" s="1"/>
  <c r="AF190" i="3"/>
  <c r="AF284" i="3" s="1"/>
  <c r="AE190" i="3"/>
  <c r="AE284" i="3" s="1"/>
  <c r="AD190" i="3"/>
  <c r="AD284" i="3" s="1"/>
  <c r="AC190" i="3"/>
  <c r="AC284" i="3" s="1"/>
  <c r="AB190" i="3"/>
  <c r="AB284" i="3" s="1"/>
  <c r="AA190" i="3"/>
  <c r="AA284" i="3" s="1"/>
  <c r="Z190" i="3"/>
  <c r="Z284" i="3" s="1"/>
  <c r="Y190" i="3"/>
  <c r="Y284" i="3" s="1"/>
  <c r="X190" i="3"/>
  <c r="X284" i="3" s="1"/>
  <c r="W190" i="3"/>
  <c r="W284" i="3" s="1"/>
  <c r="V190" i="3"/>
  <c r="V284" i="3" s="1"/>
  <c r="U190" i="3"/>
  <c r="U284" i="3" s="1"/>
  <c r="T190" i="3"/>
  <c r="T284" i="3" s="1"/>
  <c r="O190" i="3"/>
  <c r="P190" i="3" s="1"/>
  <c r="Q190" i="3" s="1"/>
  <c r="N190" i="3"/>
  <c r="AH188" i="3"/>
  <c r="AH282" i="3" s="1"/>
  <c r="AG188" i="3"/>
  <c r="AG282" i="3" s="1"/>
  <c r="AF188" i="3"/>
  <c r="AF282" i="3" s="1"/>
  <c r="AE188" i="3"/>
  <c r="AE282" i="3" s="1"/>
  <c r="AD188" i="3"/>
  <c r="AD282" i="3" s="1"/>
  <c r="AC188" i="3"/>
  <c r="AC282" i="3" s="1"/>
  <c r="AB188" i="3"/>
  <c r="AB282" i="3" s="1"/>
  <c r="AA188" i="3"/>
  <c r="AA282" i="3" s="1"/>
  <c r="Z188" i="3"/>
  <c r="Z282" i="3" s="1"/>
  <c r="Y188" i="3"/>
  <c r="Y282" i="3" s="1"/>
  <c r="X188" i="3"/>
  <c r="X282" i="3" s="1"/>
  <c r="W188" i="3"/>
  <c r="W282" i="3" s="1"/>
  <c r="V188" i="3"/>
  <c r="V282" i="3" s="1"/>
  <c r="U188" i="3"/>
  <c r="U282" i="3" s="1"/>
  <c r="T188" i="3"/>
  <c r="T282" i="3" s="1"/>
  <c r="P188" i="3"/>
  <c r="Q188" i="3" s="1"/>
  <c r="O188" i="3"/>
  <c r="B162" i="3"/>
  <c r="C162" i="3" s="1"/>
  <c r="D162" i="3" s="1"/>
  <c r="B166" i="3"/>
  <c r="G163" i="3"/>
  <c r="H163" i="3" s="1"/>
  <c r="C161" i="3"/>
  <c r="D161" i="3" s="1"/>
  <c r="E161" i="3" s="1"/>
  <c r="F161" i="3" s="1"/>
  <c r="G161" i="3" s="1"/>
  <c r="H161" i="3" s="1"/>
  <c r="I161" i="3" s="1"/>
  <c r="J161" i="3" s="1"/>
  <c r="K161" i="3" s="1"/>
  <c r="L161" i="3" s="1"/>
  <c r="M161" i="3" s="1"/>
  <c r="N161" i="3" s="1"/>
  <c r="O161" i="3" s="1"/>
  <c r="P161" i="3" s="1"/>
  <c r="Q161" i="3" s="1"/>
  <c r="R161" i="3" s="1"/>
  <c r="S161" i="3" s="1"/>
  <c r="T161" i="3" s="1"/>
  <c r="U161" i="3" s="1"/>
  <c r="R143" i="3"/>
  <c r="B143" i="3"/>
  <c r="D141" i="3"/>
  <c r="C141" i="3"/>
  <c r="D139" i="3"/>
  <c r="E141" i="3" s="1"/>
  <c r="D136" i="3"/>
  <c r="C136" i="3"/>
  <c r="D134" i="3"/>
  <c r="E134" i="3" s="1"/>
  <c r="D131" i="3"/>
  <c r="C131" i="3"/>
  <c r="D129" i="3"/>
  <c r="E129" i="3" s="1"/>
  <c r="D126" i="3"/>
  <c r="C126" i="3"/>
  <c r="D124" i="3"/>
  <c r="E124" i="3" s="1"/>
  <c r="D121" i="3"/>
  <c r="C121" i="3"/>
  <c r="D119" i="3"/>
  <c r="E121" i="3" s="1"/>
  <c r="C116" i="3"/>
  <c r="D115" i="3"/>
  <c r="E115" i="3" s="1"/>
  <c r="C115" i="3"/>
  <c r="D114" i="3" s="1"/>
  <c r="C110" i="3"/>
  <c r="D110" i="3" s="1"/>
  <c r="E110" i="3" s="1"/>
  <c r="F110" i="3" s="1"/>
  <c r="G110" i="3" s="1"/>
  <c r="H110" i="3" s="1"/>
  <c r="I110" i="3" s="1"/>
  <c r="J110" i="3" s="1"/>
  <c r="K110" i="3" s="1"/>
  <c r="L110" i="3" s="1"/>
  <c r="M110" i="3" s="1"/>
  <c r="N110" i="3" s="1"/>
  <c r="O110" i="3" s="1"/>
  <c r="P110" i="3" s="1"/>
  <c r="Q110" i="3" s="1"/>
  <c r="R110" i="3" s="1"/>
  <c r="R100" i="3"/>
  <c r="B100" i="3"/>
  <c r="D98" i="3"/>
  <c r="C98" i="3"/>
  <c r="D96" i="3"/>
  <c r="E98" i="3" s="1"/>
  <c r="D93" i="3"/>
  <c r="C93" i="3"/>
  <c r="D91" i="3"/>
  <c r="E91" i="3" s="1"/>
  <c r="D88" i="3"/>
  <c r="C88" i="3"/>
  <c r="D86" i="3"/>
  <c r="E86" i="3" s="1"/>
  <c r="D83" i="3"/>
  <c r="C83" i="3"/>
  <c r="D81" i="3"/>
  <c r="E81" i="3" s="1"/>
  <c r="F83" i="3" s="1"/>
  <c r="D78" i="3"/>
  <c r="C78" i="3"/>
  <c r="D76" i="3"/>
  <c r="E78" i="3" s="1"/>
  <c r="C73" i="3"/>
  <c r="D72" i="3"/>
  <c r="E72" i="3" s="1"/>
  <c r="C72" i="3"/>
  <c r="D71" i="3" s="1"/>
  <c r="D73" i="3" s="1"/>
  <c r="C67" i="3"/>
  <c r="D67" i="3" s="1"/>
  <c r="E67" i="3" s="1"/>
  <c r="F67" i="3" s="1"/>
  <c r="G67" i="3" s="1"/>
  <c r="H67" i="3" s="1"/>
  <c r="I67" i="3" s="1"/>
  <c r="J67" i="3" s="1"/>
  <c r="K67" i="3" s="1"/>
  <c r="L67" i="3" s="1"/>
  <c r="M67" i="3" s="1"/>
  <c r="N67" i="3" s="1"/>
  <c r="O67" i="3" s="1"/>
  <c r="P67" i="3" s="1"/>
  <c r="Q67" i="3" s="1"/>
  <c r="R67" i="3" s="1"/>
  <c r="S57" i="3"/>
  <c r="R57" i="3"/>
  <c r="B57" i="3"/>
  <c r="D55" i="3"/>
  <c r="C55" i="3"/>
  <c r="D53" i="3"/>
  <c r="E55" i="3" s="1"/>
  <c r="D50" i="3"/>
  <c r="C50" i="3"/>
  <c r="D48" i="3"/>
  <c r="E48" i="3" s="1"/>
  <c r="D45" i="3"/>
  <c r="C45" i="3"/>
  <c r="D43" i="3"/>
  <c r="E43" i="3" s="1"/>
  <c r="D40" i="3"/>
  <c r="C40" i="3"/>
  <c r="D38" i="3"/>
  <c r="E40" i="3" s="1"/>
  <c r="D35" i="3"/>
  <c r="C35" i="3"/>
  <c r="D33" i="3"/>
  <c r="E35" i="3" s="1"/>
  <c r="C30" i="3"/>
  <c r="D29" i="3"/>
  <c r="C29" i="3"/>
  <c r="C24" i="3"/>
  <c r="D24" i="3" s="1"/>
  <c r="E24" i="3" s="1"/>
  <c r="F24" i="3" s="1"/>
  <c r="G24" i="3" s="1"/>
  <c r="H24" i="3" s="1"/>
  <c r="I24" i="3" s="1"/>
  <c r="J24" i="3" s="1"/>
  <c r="K24" i="3" s="1"/>
  <c r="L24" i="3" s="1"/>
  <c r="M24" i="3" s="1"/>
  <c r="N24" i="3" s="1"/>
  <c r="O24" i="3" s="1"/>
  <c r="P24" i="3" s="1"/>
  <c r="Q24" i="3" s="1"/>
  <c r="R24" i="3" s="1"/>
  <c r="K11" i="3"/>
  <c r="J11" i="3"/>
  <c r="I11" i="3"/>
  <c r="H11" i="3"/>
  <c r="G11" i="3"/>
  <c r="F11" i="3"/>
  <c r="E11" i="3"/>
  <c r="D11" i="3"/>
  <c r="C11" i="3"/>
  <c r="B11" i="3"/>
  <c r="L9" i="3"/>
  <c r="C8" i="3"/>
  <c r="D8" i="3" s="1"/>
  <c r="E8" i="3" s="1"/>
  <c r="F8" i="3" s="1"/>
  <c r="G8" i="3" s="1"/>
  <c r="H8" i="3" s="1"/>
  <c r="I8" i="3" s="1"/>
  <c r="J8" i="3" s="1"/>
  <c r="K8" i="3" s="1"/>
  <c r="F204" i="3" l="1"/>
  <c r="F206" i="3"/>
  <c r="F409" i="3"/>
  <c r="G430" i="3"/>
  <c r="G429" i="3"/>
  <c r="F430" i="3"/>
  <c r="F432" i="3" s="1"/>
  <c r="H417" i="3"/>
  <c r="F418" i="3"/>
  <c r="F420" i="3" s="1"/>
  <c r="G416" i="3"/>
  <c r="J397" i="3"/>
  <c r="G400" i="3"/>
  <c r="F188" i="3"/>
  <c r="F196" i="3"/>
  <c r="B189" i="3"/>
  <c r="F190" i="3"/>
  <c r="F198" i="3"/>
  <c r="F208" i="3"/>
  <c r="B273" i="3"/>
  <c r="F192" i="3"/>
  <c r="F200" i="3"/>
  <c r="B212" i="3"/>
  <c r="F194" i="3"/>
  <c r="B241" i="3"/>
  <c r="B348" i="3"/>
  <c r="B199" i="3"/>
  <c r="B263" i="3"/>
  <c r="B209" i="3"/>
  <c r="B257" i="3"/>
  <c r="B195" i="3"/>
  <c r="B253" i="3"/>
  <c r="R224" i="3"/>
  <c r="B225" i="3" s="1"/>
  <c r="E83" i="3"/>
  <c r="B269" i="3"/>
  <c r="B221" i="3"/>
  <c r="Q222" i="3"/>
  <c r="B223" i="3" s="1"/>
  <c r="N228" i="3"/>
  <c r="O228" i="3" s="1"/>
  <c r="P228" i="3" s="1"/>
  <c r="Q228" i="3" s="1"/>
  <c r="B289" i="3"/>
  <c r="B293" i="3"/>
  <c r="B297" i="3"/>
  <c r="B301" i="3"/>
  <c r="B358" i="3"/>
  <c r="B197" i="3"/>
  <c r="J202" i="3"/>
  <c r="K202" i="3" s="1"/>
  <c r="L202" i="3" s="1"/>
  <c r="M202" i="3" s="1"/>
  <c r="N202" i="3" s="1"/>
  <c r="O202" i="3" s="1"/>
  <c r="P202" i="3" s="1"/>
  <c r="Q202" i="3" s="1"/>
  <c r="P226" i="3"/>
  <c r="Q226" i="3" s="1"/>
  <c r="B237" i="3"/>
  <c r="B334" i="3"/>
  <c r="B354" i="3"/>
  <c r="B314" i="3"/>
  <c r="B320" i="3"/>
  <c r="B330" i="3"/>
  <c r="B364" i="3"/>
  <c r="B324" i="3"/>
  <c r="D345" i="3"/>
  <c r="B369" i="3" s="1"/>
  <c r="B337" i="3"/>
  <c r="B316" i="3"/>
  <c r="B350" i="3"/>
  <c r="B360" i="3"/>
  <c r="B193" i="3"/>
  <c r="B231" i="3"/>
  <c r="B283" i="3"/>
  <c r="B287" i="3"/>
  <c r="B291" i="3"/>
  <c r="B295" i="3"/>
  <c r="B299" i="3"/>
  <c r="B303" i="3"/>
  <c r="B326" i="3"/>
  <c r="B346" i="3"/>
  <c r="B285" i="3"/>
  <c r="R206" i="3"/>
  <c r="B207" i="3" s="1"/>
  <c r="B322" i="3"/>
  <c r="B332" i="3"/>
  <c r="B356" i="3"/>
  <c r="B366" i="3"/>
  <c r="R190" i="3"/>
  <c r="B191" i="3" s="1"/>
  <c r="R200" i="3"/>
  <c r="B201" i="3" s="1"/>
  <c r="B239" i="3"/>
  <c r="B352" i="3"/>
  <c r="B362" i="3"/>
  <c r="R204" i="3"/>
  <c r="B205" i="3" s="1"/>
  <c r="B255" i="3"/>
  <c r="B261" i="3"/>
  <c r="B318" i="3"/>
  <c r="B328" i="3"/>
  <c r="R232" i="3"/>
  <c r="B233" i="3" s="1"/>
  <c r="R270" i="3"/>
  <c r="B271" i="3" s="1"/>
  <c r="B306" i="3"/>
  <c r="R264" i="3"/>
  <c r="B265" i="3" s="1"/>
  <c r="B235" i="3"/>
  <c r="O258" i="3"/>
  <c r="P258" i="3" s="1"/>
  <c r="Q258" i="3" s="1"/>
  <c r="B267" i="3"/>
  <c r="I163" i="3"/>
  <c r="D164" i="3"/>
  <c r="D166" i="3" s="1"/>
  <c r="E162" i="3"/>
  <c r="C164" i="3"/>
  <c r="C166" i="3" s="1"/>
  <c r="E96" i="3"/>
  <c r="F98" i="3" s="1"/>
  <c r="C143" i="3"/>
  <c r="E114" i="3"/>
  <c r="E116" i="3" s="1"/>
  <c r="D116" i="3"/>
  <c r="D143" i="3" s="1"/>
  <c r="L11" i="3"/>
  <c r="E139" i="3"/>
  <c r="F139" i="3" s="1"/>
  <c r="G139" i="3" s="1"/>
  <c r="H139" i="3" s="1"/>
  <c r="C100" i="3"/>
  <c r="C57" i="3"/>
  <c r="E76" i="3"/>
  <c r="F78" i="3" s="1"/>
  <c r="E119" i="3"/>
  <c r="E131" i="3"/>
  <c r="F93" i="3"/>
  <c r="F91" i="3"/>
  <c r="G91" i="3" s="1"/>
  <c r="F129" i="3"/>
  <c r="F131" i="3"/>
  <c r="F48" i="3"/>
  <c r="G48" i="3" s="1"/>
  <c r="F50" i="3"/>
  <c r="F72" i="3"/>
  <c r="F43" i="3"/>
  <c r="F45" i="3"/>
  <c r="F115" i="3"/>
  <c r="F134" i="3"/>
  <c r="G134" i="3" s="1"/>
  <c r="F136" i="3"/>
  <c r="F88" i="3"/>
  <c r="F86" i="3"/>
  <c r="F124" i="3"/>
  <c r="F126" i="3"/>
  <c r="E38" i="3"/>
  <c r="E71" i="3"/>
  <c r="F81" i="3"/>
  <c r="G81" i="3" s="1"/>
  <c r="E29" i="3"/>
  <c r="E45" i="3"/>
  <c r="E126" i="3"/>
  <c r="E136" i="3"/>
  <c r="D28" i="3"/>
  <c r="E33" i="3"/>
  <c r="E50" i="3"/>
  <c r="D100" i="3"/>
  <c r="E88" i="3"/>
  <c r="E93" i="3"/>
  <c r="E53" i="3"/>
  <c r="B259" i="3" l="1"/>
  <c r="G432" i="3"/>
  <c r="H429" i="3"/>
  <c r="I417" i="3"/>
  <c r="H416" i="3"/>
  <c r="G418" i="3"/>
  <c r="G420" i="3" s="1"/>
  <c r="H400" i="3"/>
  <c r="G409" i="3"/>
  <c r="K397" i="3"/>
  <c r="J409" i="3"/>
  <c r="B374" i="3"/>
  <c r="B275" i="3"/>
  <c r="B277" i="3" s="1"/>
  <c r="B278" i="3" s="1"/>
  <c r="F96" i="3"/>
  <c r="G96" i="3" s="1"/>
  <c r="G98" i="3" s="1"/>
  <c r="F141" i="3"/>
  <c r="G141" i="3"/>
  <c r="B336" i="3"/>
  <c r="B338" i="3" s="1"/>
  <c r="B339" i="3" s="1"/>
  <c r="B305" i="3"/>
  <c r="B307" i="3" s="1"/>
  <c r="B308" i="3" s="1"/>
  <c r="B368" i="3"/>
  <c r="B370" i="3" s="1"/>
  <c r="B371" i="3" s="1"/>
  <c r="B229" i="3"/>
  <c r="B227" i="3"/>
  <c r="B203" i="3"/>
  <c r="B211" i="3" s="1"/>
  <c r="B213" i="3" s="1"/>
  <c r="J163" i="3"/>
  <c r="E164" i="3"/>
  <c r="E166" i="3" s="1"/>
  <c r="F162" i="3"/>
  <c r="F76" i="3"/>
  <c r="G76" i="3" s="1"/>
  <c r="H78" i="3" s="1"/>
  <c r="E143" i="3"/>
  <c r="F119" i="3"/>
  <c r="F121" i="3"/>
  <c r="F114" i="3"/>
  <c r="G114" i="3" s="1"/>
  <c r="G88" i="3"/>
  <c r="G86" i="3"/>
  <c r="H81" i="3"/>
  <c r="G83" i="3"/>
  <c r="F35" i="3"/>
  <c r="F33" i="3"/>
  <c r="G43" i="3"/>
  <c r="G45" i="3"/>
  <c r="D30" i="3"/>
  <c r="D57" i="3" s="1"/>
  <c r="E28" i="3"/>
  <c r="E73" i="3"/>
  <c r="E100" i="3" s="1"/>
  <c r="F71" i="3"/>
  <c r="H134" i="3"/>
  <c r="G136" i="3"/>
  <c r="G129" i="3"/>
  <c r="G131" i="3"/>
  <c r="F40" i="3"/>
  <c r="F38" i="3"/>
  <c r="H48" i="3"/>
  <c r="G50" i="3"/>
  <c r="G124" i="3"/>
  <c r="G126" i="3"/>
  <c r="G93" i="3"/>
  <c r="H91" i="3"/>
  <c r="H141" i="3"/>
  <c r="I139" i="3"/>
  <c r="F53" i="3"/>
  <c r="G53" i="3" s="1"/>
  <c r="F55" i="3"/>
  <c r="F29" i="3"/>
  <c r="B243" i="3" l="1"/>
  <c r="B245" i="3" s="1"/>
  <c r="B246" i="3" s="1"/>
  <c r="I429" i="3"/>
  <c r="H428" i="3"/>
  <c r="I416" i="3"/>
  <c r="H418" i="3"/>
  <c r="H420" i="3" s="1"/>
  <c r="J417" i="3"/>
  <c r="I400" i="3"/>
  <c r="I409" i="3" s="1"/>
  <c r="H409" i="3"/>
  <c r="K409" i="3"/>
  <c r="L397" i="3"/>
  <c r="B214" i="3"/>
  <c r="H96" i="3"/>
  <c r="I96" i="3" s="1"/>
  <c r="F164" i="3"/>
  <c r="F166" i="3" s="1"/>
  <c r="G162" i="3"/>
  <c r="K163" i="3"/>
  <c r="H76" i="3"/>
  <c r="I78" i="3" s="1"/>
  <c r="G78" i="3"/>
  <c r="H77" i="3"/>
  <c r="I77" i="3" s="1"/>
  <c r="F116" i="3"/>
  <c r="F143" i="3" s="1"/>
  <c r="G119" i="3"/>
  <c r="G121" i="3"/>
  <c r="I141" i="3"/>
  <c r="J139" i="3"/>
  <c r="G35" i="3"/>
  <c r="G33" i="3"/>
  <c r="H53" i="3"/>
  <c r="G55" i="3"/>
  <c r="H124" i="3"/>
  <c r="H126" i="3"/>
  <c r="I91" i="3"/>
  <c r="H93" i="3"/>
  <c r="G40" i="3"/>
  <c r="G38" i="3"/>
  <c r="I134" i="3"/>
  <c r="H136" i="3"/>
  <c r="H88" i="3"/>
  <c r="H86" i="3"/>
  <c r="E30" i="3"/>
  <c r="E57" i="3" s="1"/>
  <c r="F28" i="3"/>
  <c r="H129" i="3"/>
  <c r="H131" i="3"/>
  <c r="H45" i="3"/>
  <c r="H43" i="3"/>
  <c r="I81" i="3"/>
  <c r="H83" i="3"/>
  <c r="G115" i="3"/>
  <c r="H114" i="3" s="1"/>
  <c r="G116" i="3"/>
  <c r="H50" i="3"/>
  <c r="I48" i="3"/>
  <c r="F73" i="3"/>
  <c r="F100" i="3" s="1"/>
  <c r="G71" i="3"/>
  <c r="B373" i="3" l="1"/>
  <c r="B375" i="3" s="1"/>
  <c r="H98" i="3"/>
  <c r="H430" i="3"/>
  <c r="H432" i="3" s="1"/>
  <c r="I428" i="3"/>
  <c r="J429" i="3"/>
  <c r="K417" i="3"/>
  <c r="I418" i="3"/>
  <c r="I420" i="3" s="1"/>
  <c r="J416" i="3"/>
  <c r="L409" i="3"/>
  <c r="M397" i="3"/>
  <c r="M409" i="3" s="1"/>
  <c r="L163" i="3"/>
  <c r="G164" i="3"/>
  <c r="G166" i="3" s="1"/>
  <c r="H162" i="3"/>
  <c r="I76" i="3"/>
  <c r="J76" i="3" s="1"/>
  <c r="H100" i="3"/>
  <c r="H121" i="3"/>
  <c r="H119" i="3"/>
  <c r="H120" i="3"/>
  <c r="I120" i="3" s="1"/>
  <c r="H40" i="3"/>
  <c r="H38" i="3"/>
  <c r="I45" i="3"/>
  <c r="I43" i="3"/>
  <c r="I136" i="3"/>
  <c r="J134" i="3"/>
  <c r="J91" i="3"/>
  <c r="I93" i="3"/>
  <c r="I53" i="3"/>
  <c r="H55" i="3"/>
  <c r="I126" i="3"/>
  <c r="I124" i="3"/>
  <c r="I129" i="3"/>
  <c r="I131" i="3"/>
  <c r="G73" i="3"/>
  <c r="G72" i="3"/>
  <c r="H71" i="3" s="1"/>
  <c r="G143" i="3"/>
  <c r="G28" i="3"/>
  <c r="F30" i="3"/>
  <c r="F57" i="3" s="1"/>
  <c r="H35" i="3"/>
  <c r="H33" i="3"/>
  <c r="I50" i="3"/>
  <c r="J48" i="3"/>
  <c r="J81" i="3"/>
  <c r="I83" i="3"/>
  <c r="J82" i="3"/>
  <c r="I88" i="3"/>
  <c r="I86" i="3"/>
  <c r="J96" i="3"/>
  <c r="I98" i="3"/>
  <c r="J141" i="3"/>
  <c r="K139" i="3"/>
  <c r="F411" i="3" l="1"/>
  <c r="B383" i="3" s="1"/>
  <c r="K429" i="3"/>
  <c r="I430" i="3"/>
  <c r="I432" i="3" s="1"/>
  <c r="J428" i="3"/>
  <c r="L417" i="3"/>
  <c r="J418" i="3"/>
  <c r="J420" i="3" s="1"/>
  <c r="K416" i="3"/>
  <c r="H164" i="3"/>
  <c r="H166" i="3" s="1"/>
  <c r="I162" i="3"/>
  <c r="M163" i="3"/>
  <c r="I119" i="3"/>
  <c r="J119" i="3" s="1"/>
  <c r="I121" i="3"/>
  <c r="I143" i="3" s="1"/>
  <c r="H57" i="3"/>
  <c r="I100" i="3"/>
  <c r="H143" i="3"/>
  <c r="J136" i="3"/>
  <c r="K134" i="3"/>
  <c r="J126" i="3"/>
  <c r="J125" i="3"/>
  <c r="J124" i="3"/>
  <c r="J45" i="3"/>
  <c r="J43" i="3"/>
  <c r="G29" i="3"/>
  <c r="G30" i="3"/>
  <c r="J86" i="3"/>
  <c r="J88" i="3"/>
  <c r="I38" i="3"/>
  <c r="I40" i="3"/>
  <c r="I35" i="3"/>
  <c r="I33" i="3"/>
  <c r="J33" i="3" s="1"/>
  <c r="K91" i="3"/>
  <c r="J93" i="3"/>
  <c r="K82" i="3"/>
  <c r="J129" i="3"/>
  <c r="J131" i="3"/>
  <c r="K141" i="3"/>
  <c r="L139" i="3"/>
  <c r="K81" i="3"/>
  <c r="J83" i="3"/>
  <c r="J50" i="3"/>
  <c r="K48" i="3"/>
  <c r="K96" i="3"/>
  <c r="J98" i="3"/>
  <c r="G100" i="3"/>
  <c r="J53" i="3"/>
  <c r="I55" i="3"/>
  <c r="K428" i="3" l="1"/>
  <c r="J430" i="3"/>
  <c r="J432" i="3" s="1"/>
  <c r="L429" i="3"/>
  <c r="K418" i="3"/>
  <c r="K420" i="3" s="1"/>
  <c r="L416" i="3"/>
  <c r="M417" i="3"/>
  <c r="J162" i="3"/>
  <c r="I164" i="3"/>
  <c r="I166" i="3" s="1"/>
  <c r="N163" i="3"/>
  <c r="J100" i="3"/>
  <c r="K125" i="3"/>
  <c r="J143" i="3"/>
  <c r="K98" i="3"/>
  <c r="L96" i="3"/>
  <c r="J38" i="3"/>
  <c r="J40" i="3"/>
  <c r="L48" i="3"/>
  <c r="K50" i="3"/>
  <c r="K126" i="3"/>
  <c r="K124" i="3"/>
  <c r="L82" i="3"/>
  <c r="L81" i="3"/>
  <c r="K83" i="3"/>
  <c r="K45" i="3"/>
  <c r="K43" i="3"/>
  <c r="K131" i="3"/>
  <c r="K129" i="3"/>
  <c r="K86" i="3"/>
  <c r="K88" i="3"/>
  <c r="L91" i="3"/>
  <c r="K93" i="3"/>
  <c r="K53" i="3"/>
  <c r="J55" i="3"/>
  <c r="L141" i="3"/>
  <c r="M139" i="3"/>
  <c r="G57" i="3"/>
  <c r="K136" i="3"/>
  <c r="L134" i="3"/>
  <c r="I57" i="3"/>
  <c r="H28" i="3"/>
  <c r="M429" i="3" l="1"/>
  <c r="L428" i="3"/>
  <c r="K430" i="3"/>
  <c r="K432" i="3" s="1"/>
  <c r="N417" i="3"/>
  <c r="L418" i="3"/>
  <c r="L420" i="3" s="1"/>
  <c r="M416" i="3"/>
  <c r="K100" i="3"/>
  <c r="K162" i="3"/>
  <c r="J164" i="3"/>
  <c r="J166" i="3" s="1"/>
  <c r="O163" i="3"/>
  <c r="J57" i="3"/>
  <c r="M134" i="3"/>
  <c r="L136" i="3"/>
  <c r="M91" i="3"/>
  <c r="L93" i="3"/>
  <c r="M81" i="3"/>
  <c r="L83" i="3"/>
  <c r="K38" i="3"/>
  <c r="K40" i="3"/>
  <c r="L43" i="3"/>
  <c r="L45" i="3"/>
  <c r="L53" i="3"/>
  <c r="K55" i="3"/>
  <c r="N139" i="3"/>
  <c r="M141" i="3"/>
  <c r="L124" i="3"/>
  <c r="L126" i="3"/>
  <c r="M48" i="3"/>
  <c r="L50" i="3"/>
  <c r="L98" i="3"/>
  <c r="M96" i="3"/>
  <c r="L86" i="3"/>
  <c r="L88" i="3"/>
  <c r="L131" i="3"/>
  <c r="L129" i="3"/>
  <c r="L125" i="3"/>
  <c r="K143" i="3"/>
  <c r="M428" i="3" l="1"/>
  <c r="L430" i="3"/>
  <c r="L432" i="3" s="1"/>
  <c r="N429" i="3"/>
  <c r="N416" i="3"/>
  <c r="M418" i="3"/>
  <c r="M420" i="3" s="1"/>
  <c r="O417" i="3"/>
  <c r="L100" i="3"/>
  <c r="P163" i="3"/>
  <c r="K164" i="3"/>
  <c r="K166" i="3" s="1"/>
  <c r="L162" i="3"/>
  <c r="M124" i="3"/>
  <c r="K57" i="3"/>
  <c r="O139" i="3"/>
  <c r="N141" i="3"/>
  <c r="M98" i="3"/>
  <c r="N96" i="3"/>
  <c r="M53" i="3"/>
  <c r="L55" i="3"/>
  <c r="M131" i="3"/>
  <c r="M129" i="3"/>
  <c r="N134" i="3"/>
  <c r="M136" i="3"/>
  <c r="L40" i="3"/>
  <c r="L38" i="3"/>
  <c r="M38" i="3" s="1"/>
  <c r="M86" i="3"/>
  <c r="M88" i="3"/>
  <c r="M93" i="3"/>
  <c r="N91" i="3"/>
  <c r="L143" i="3"/>
  <c r="N48" i="3"/>
  <c r="M50" i="3"/>
  <c r="M43" i="3"/>
  <c r="M45" i="3"/>
  <c r="O429" i="3" l="1"/>
  <c r="N428" i="3"/>
  <c r="M430" i="3"/>
  <c r="M432" i="3" s="1"/>
  <c r="P417" i="3"/>
  <c r="O416" i="3"/>
  <c r="N418" i="3"/>
  <c r="N420" i="3" s="1"/>
  <c r="M100" i="3"/>
  <c r="M162" i="3"/>
  <c r="L164" i="3"/>
  <c r="L166" i="3" s="1"/>
  <c r="Q163" i="3"/>
  <c r="O135" i="3"/>
  <c r="O134" i="3"/>
  <c r="N136" i="3"/>
  <c r="N93" i="3"/>
  <c r="O92" i="3"/>
  <c r="O91" i="3"/>
  <c r="N129" i="3"/>
  <c r="O129" i="3" s="1"/>
  <c r="N131" i="3"/>
  <c r="N88" i="3"/>
  <c r="N86" i="3"/>
  <c r="O86" i="3" s="1"/>
  <c r="M55" i="3"/>
  <c r="M57" i="3" s="1"/>
  <c r="N53" i="3"/>
  <c r="O48" i="3"/>
  <c r="N50" i="3"/>
  <c r="P140" i="3"/>
  <c r="O141" i="3"/>
  <c r="P139" i="3"/>
  <c r="M143" i="3"/>
  <c r="N98" i="3"/>
  <c r="O96" i="3"/>
  <c r="N43" i="3"/>
  <c r="O43" i="3" s="1"/>
  <c r="N45" i="3"/>
  <c r="L57" i="3"/>
  <c r="O428" i="3" l="1"/>
  <c r="N430" i="3"/>
  <c r="N432" i="3" s="1"/>
  <c r="P429" i="3"/>
  <c r="P416" i="3"/>
  <c r="P418" i="3" s="1"/>
  <c r="P420" i="3" s="1"/>
  <c r="O418" i="3"/>
  <c r="O420" i="3" s="1"/>
  <c r="N143" i="3"/>
  <c r="R163" i="3"/>
  <c r="M164" i="3"/>
  <c r="M166" i="3" s="1"/>
  <c r="N162" i="3"/>
  <c r="P48" i="3"/>
  <c r="O50" i="3"/>
  <c r="O98" i="3"/>
  <c r="P96" i="3"/>
  <c r="P97" i="3"/>
  <c r="Q140" i="3"/>
  <c r="O93" i="3"/>
  <c r="P91" i="3"/>
  <c r="N55" i="3"/>
  <c r="N57" i="3" s="1"/>
  <c r="O53" i="3"/>
  <c r="P141" i="3"/>
  <c r="P143" i="3" s="1"/>
  <c r="Q139" i="3"/>
  <c r="P134" i="3"/>
  <c r="O136" i="3"/>
  <c r="O143" i="3" s="1"/>
  <c r="N100" i="3"/>
  <c r="F422" i="3" l="1"/>
  <c r="B384" i="3" s="1"/>
  <c r="B385" i="3" s="1"/>
  <c r="Q429" i="3"/>
  <c r="P428" i="3"/>
  <c r="O430" i="3"/>
  <c r="O432" i="3" s="1"/>
  <c r="N164" i="3"/>
  <c r="N166" i="3" s="1"/>
  <c r="O162" i="3"/>
  <c r="S163" i="3"/>
  <c r="O100" i="3"/>
  <c r="Q141" i="3"/>
  <c r="Q143" i="3" s="1"/>
  <c r="B147" i="3" s="1"/>
  <c r="B149" i="3" s="1"/>
  <c r="R139" i="3"/>
  <c r="P98" i="3"/>
  <c r="P100" i="3" s="1"/>
  <c r="Q96" i="3"/>
  <c r="Q97" i="3"/>
  <c r="P53" i="3"/>
  <c r="O55" i="3"/>
  <c r="O57" i="3" s="1"/>
  <c r="E384" i="3" l="1"/>
  <c r="P430" i="3"/>
  <c r="P432" i="3" s="1"/>
  <c r="Q428" i="3"/>
  <c r="R429" i="3"/>
  <c r="T163" i="3"/>
  <c r="O164" i="3"/>
  <c r="O166" i="3" s="1"/>
  <c r="P162" i="3"/>
  <c r="Q53" i="3"/>
  <c r="P55" i="3"/>
  <c r="P57" i="3" s="1"/>
  <c r="R96" i="3"/>
  <c r="Q98" i="3"/>
  <c r="Q100" i="3" s="1"/>
  <c r="B104" i="3" s="1"/>
  <c r="B106" i="3" s="1"/>
  <c r="S429" i="3" l="1"/>
  <c r="Q430" i="3"/>
  <c r="Q432" i="3" s="1"/>
  <c r="R428" i="3"/>
  <c r="P164" i="3"/>
  <c r="P166" i="3" s="1"/>
  <c r="Q162" i="3"/>
  <c r="U163" i="3"/>
  <c r="R53" i="3"/>
  <c r="Q55" i="3"/>
  <c r="Q57" i="3" s="1"/>
  <c r="B61" i="3" s="1"/>
  <c r="B63" i="3" l="1"/>
  <c r="E383" i="3"/>
  <c r="S428" i="3"/>
  <c r="R430" i="3"/>
  <c r="R432" i="3" s="1"/>
  <c r="T429" i="3"/>
  <c r="R162" i="3"/>
  <c r="Q164" i="3"/>
  <c r="Q166" i="3" s="1"/>
  <c r="E385" i="3" l="1"/>
  <c r="G383" i="3"/>
  <c r="H383" i="3" s="1"/>
  <c r="H384" i="3" s="1"/>
  <c r="F384" i="3" s="1"/>
  <c r="U429" i="3"/>
  <c r="T428" i="3"/>
  <c r="S430" i="3"/>
  <c r="S432" i="3" s="1"/>
  <c r="S162" i="3"/>
  <c r="R164" i="3"/>
  <c r="R166" i="3" s="1"/>
  <c r="U428" i="3" l="1"/>
  <c r="U430" i="3" s="1"/>
  <c r="U432" i="3" s="1"/>
  <c r="T430" i="3"/>
  <c r="T432" i="3" s="1"/>
  <c r="V429" i="3"/>
  <c r="V432" i="3" s="1"/>
  <c r="S164" i="3"/>
  <c r="S166" i="3" s="1"/>
  <c r="T162" i="3"/>
  <c r="F434" i="3" l="1"/>
  <c r="B386" i="3" s="1"/>
  <c r="U162" i="3"/>
  <c r="U164" i="3" s="1"/>
  <c r="T164" i="3"/>
  <c r="T166" i="3" s="1"/>
  <c r="B387" i="3" l="1"/>
  <c r="E387" i="3" s="1"/>
  <c r="U166" i="3"/>
  <c r="B170" i="3"/>
  <c r="B388" i="3" l="1"/>
  <c r="B172" i="3"/>
  <c r="E386" i="3"/>
  <c r="B177" i="3" l="1"/>
  <c r="B176" i="3"/>
  <c r="B175" i="3"/>
  <c r="F389" i="3"/>
  <c r="F390" i="3" s="1"/>
  <c r="E388" i="3"/>
  <c r="B390" i="3" s="1"/>
  <c r="B391" i="3"/>
  <c r="B156" i="2" l="1"/>
  <c r="B160" i="2" s="1"/>
  <c r="B142" i="2"/>
  <c r="B141" i="2"/>
  <c r="E155" i="2"/>
  <c r="E152" i="2"/>
  <c r="B153" i="2"/>
  <c r="B63" i="2"/>
  <c r="F94" i="2" s="1"/>
  <c r="S132" i="2"/>
  <c r="D132" i="2"/>
  <c r="S130" i="2"/>
  <c r="D130" i="2"/>
  <c r="S128" i="2"/>
  <c r="D128" i="2"/>
  <c r="S126" i="2"/>
  <c r="D126" i="2"/>
  <c r="S124" i="2"/>
  <c r="D124" i="2"/>
  <c r="S122" i="2"/>
  <c r="D122" i="2"/>
  <c r="S120" i="2"/>
  <c r="D120" i="2"/>
  <c r="D118" i="2"/>
  <c r="S116" i="2"/>
  <c r="D116" i="2"/>
  <c r="S114" i="2"/>
  <c r="D114" i="2"/>
  <c r="S112" i="2"/>
  <c r="D112" i="2"/>
  <c r="S110" i="2"/>
  <c r="D110" i="2"/>
  <c r="S108" i="2"/>
  <c r="D108" i="2"/>
  <c r="S106" i="2"/>
  <c r="D106" i="2"/>
  <c r="S104" i="2"/>
  <c r="D104" i="2"/>
  <c r="AG94" i="2"/>
  <c r="AG132" i="2" s="1"/>
  <c r="AF94" i="2"/>
  <c r="AF132" i="2" s="1"/>
  <c r="AE94" i="2"/>
  <c r="AE132" i="2" s="1"/>
  <c r="AD94" i="2"/>
  <c r="AD132" i="2" s="1"/>
  <c r="AC94" i="2"/>
  <c r="AC132" i="2" s="1"/>
  <c r="AB94" i="2"/>
  <c r="AB132" i="2" s="1"/>
  <c r="AA94" i="2"/>
  <c r="AA132" i="2" s="1"/>
  <c r="Z94" i="2"/>
  <c r="Z132" i="2" s="1"/>
  <c r="Y94" i="2"/>
  <c r="Y132" i="2" s="1"/>
  <c r="X94" i="2"/>
  <c r="X132" i="2" s="1"/>
  <c r="W94" i="2"/>
  <c r="W132" i="2" s="1"/>
  <c r="V94" i="2"/>
  <c r="V132" i="2" s="1"/>
  <c r="U94" i="2"/>
  <c r="U132" i="2" s="1"/>
  <c r="T94" i="2"/>
  <c r="T132" i="2" s="1"/>
  <c r="Q94" i="2"/>
  <c r="P94" i="2"/>
  <c r="I94" i="2"/>
  <c r="AG92" i="2"/>
  <c r="AG130" i="2" s="1"/>
  <c r="AF92" i="2"/>
  <c r="AF130" i="2" s="1"/>
  <c r="AE92" i="2"/>
  <c r="AE130" i="2" s="1"/>
  <c r="AD92" i="2"/>
  <c r="AD130" i="2" s="1"/>
  <c r="AC92" i="2"/>
  <c r="AC130" i="2" s="1"/>
  <c r="AB92" i="2"/>
  <c r="AB130" i="2" s="1"/>
  <c r="AA92" i="2"/>
  <c r="AA130" i="2" s="1"/>
  <c r="Z92" i="2"/>
  <c r="Z130" i="2" s="1"/>
  <c r="Y92" i="2"/>
  <c r="Y130" i="2" s="1"/>
  <c r="X92" i="2"/>
  <c r="X130" i="2" s="1"/>
  <c r="W92" i="2"/>
  <c r="W130" i="2" s="1"/>
  <c r="V92" i="2"/>
  <c r="V130" i="2" s="1"/>
  <c r="U92" i="2"/>
  <c r="U130" i="2" s="1"/>
  <c r="T92" i="2"/>
  <c r="T130" i="2" s="1"/>
  <c r="P92" i="2"/>
  <c r="Q92" i="2" s="1"/>
  <c r="R92" i="2" s="1"/>
  <c r="O92" i="2"/>
  <c r="I92" i="2"/>
  <c r="AG90" i="2"/>
  <c r="AG128" i="2" s="1"/>
  <c r="AF90" i="2"/>
  <c r="AF128" i="2" s="1"/>
  <c r="AE90" i="2"/>
  <c r="AE128" i="2" s="1"/>
  <c r="AD90" i="2"/>
  <c r="AD128" i="2" s="1"/>
  <c r="AC90" i="2"/>
  <c r="AC128" i="2" s="1"/>
  <c r="AB90" i="2"/>
  <c r="AB128" i="2" s="1"/>
  <c r="AA90" i="2"/>
  <c r="AA128" i="2" s="1"/>
  <c r="Z90" i="2"/>
  <c r="Z128" i="2" s="1"/>
  <c r="Y90" i="2"/>
  <c r="Y128" i="2" s="1"/>
  <c r="X90" i="2"/>
  <c r="X128" i="2" s="1"/>
  <c r="W90" i="2"/>
  <c r="W128" i="2" s="1"/>
  <c r="V90" i="2"/>
  <c r="V128" i="2" s="1"/>
  <c r="U90" i="2"/>
  <c r="U128" i="2" s="1"/>
  <c r="T90" i="2"/>
  <c r="T128" i="2" s="1"/>
  <c r="O90" i="2"/>
  <c r="P90" i="2" s="1"/>
  <c r="Q90" i="2" s="1"/>
  <c r="R90" i="2" s="1"/>
  <c r="N90" i="2"/>
  <c r="I90" i="2"/>
  <c r="AG88" i="2"/>
  <c r="AG126" i="2" s="1"/>
  <c r="AF88" i="2"/>
  <c r="AF126" i="2" s="1"/>
  <c r="AE88" i="2"/>
  <c r="AE126" i="2" s="1"/>
  <c r="AD88" i="2"/>
  <c r="AD126" i="2" s="1"/>
  <c r="AC88" i="2"/>
  <c r="AC126" i="2" s="1"/>
  <c r="AB88" i="2"/>
  <c r="AB126" i="2" s="1"/>
  <c r="AA88" i="2"/>
  <c r="AA126" i="2" s="1"/>
  <c r="Z88" i="2"/>
  <c r="Z126" i="2" s="1"/>
  <c r="Y88" i="2"/>
  <c r="Y126" i="2" s="1"/>
  <c r="X88" i="2"/>
  <c r="X126" i="2" s="1"/>
  <c r="W88" i="2"/>
  <c r="W126" i="2" s="1"/>
  <c r="V88" i="2"/>
  <c r="V126" i="2" s="1"/>
  <c r="U88" i="2"/>
  <c r="U126" i="2" s="1"/>
  <c r="T88" i="2"/>
  <c r="T126" i="2" s="1"/>
  <c r="R88" i="2"/>
  <c r="Q88" i="2"/>
  <c r="I88" i="2"/>
  <c r="AG86" i="2"/>
  <c r="AG124" i="2" s="1"/>
  <c r="AF86" i="2"/>
  <c r="AF124" i="2" s="1"/>
  <c r="AE86" i="2"/>
  <c r="AE124" i="2" s="1"/>
  <c r="AD86" i="2"/>
  <c r="AD124" i="2" s="1"/>
  <c r="AC86" i="2"/>
  <c r="AC124" i="2" s="1"/>
  <c r="AB86" i="2"/>
  <c r="AB124" i="2" s="1"/>
  <c r="AA86" i="2"/>
  <c r="AA124" i="2" s="1"/>
  <c r="Z86" i="2"/>
  <c r="Z124" i="2" s="1"/>
  <c r="Y86" i="2"/>
  <c r="Y124" i="2" s="1"/>
  <c r="X86" i="2"/>
  <c r="X124" i="2" s="1"/>
  <c r="W86" i="2"/>
  <c r="W124" i="2" s="1"/>
  <c r="V86" i="2"/>
  <c r="V124" i="2" s="1"/>
  <c r="U86" i="2"/>
  <c r="U124" i="2" s="1"/>
  <c r="T86" i="2"/>
  <c r="T124" i="2" s="1"/>
  <c r="Q86" i="2"/>
  <c r="R86" i="2" s="1"/>
  <c r="P86" i="2"/>
  <c r="I86" i="2"/>
  <c r="AG84" i="2"/>
  <c r="AG122" i="2" s="1"/>
  <c r="AF84" i="2"/>
  <c r="AF122" i="2" s="1"/>
  <c r="AE84" i="2"/>
  <c r="AE122" i="2" s="1"/>
  <c r="AD84" i="2"/>
  <c r="AD122" i="2" s="1"/>
  <c r="AC84" i="2"/>
  <c r="AC122" i="2" s="1"/>
  <c r="AB84" i="2"/>
  <c r="AB122" i="2" s="1"/>
  <c r="AA84" i="2"/>
  <c r="AA122" i="2" s="1"/>
  <c r="Z84" i="2"/>
  <c r="Z122" i="2" s="1"/>
  <c r="Y84" i="2"/>
  <c r="Y122" i="2" s="1"/>
  <c r="X84" i="2"/>
  <c r="X122" i="2" s="1"/>
  <c r="W84" i="2"/>
  <c r="W122" i="2" s="1"/>
  <c r="V84" i="2"/>
  <c r="V122" i="2" s="1"/>
  <c r="U84" i="2"/>
  <c r="U122" i="2" s="1"/>
  <c r="T84" i="2"/>
  <c r="T122" i="2" s="1"/>
  <c r="R84" i="2"/>
  <c r="Q84" i="2"/>
  <c r="I84" i="2"/>
  <c r="AG82" i="2"/>
  <c r="AG120" i="2" s="1"/>
  <c r="AF82" i="2"/>
  <c r="AF120" i="2" s="1"/>
  <c r="AE82" i="2"/>
  <c r="AE120" i="2" s="1"/>
  <c r="AD82" i="2"/>
  <c r="AD120" i="2" s="1"/>
  <c r="AC82" i="2"/>
  <c r="AC120" i="2" s="1"/>
  <c r="AB82" i="2"/>
  <c r="AB120" i="2" s="1"/>
  <c r="AA82" i="2"/>
  <c r="AA120" i="2" s="1"/>
  <c r="Z82" i="2"/>
  <c r="Z120" i="2" s="1"/>
  <c r="Y82" i="2"/>
  <c r="Y120" i="2" s="1"/>
  <c r="X82" i="2"/>
  <c r="X120" i="2" s="1"/>
  <c r="W82" i="2"/>
  <c r="W120" i="2" s="1"/>
  <c r="V82" i="2"/>
  <c r="V120" i="2" s="1"/>
  <c r="U82" i="2"/>
  <c r="U120" i="2" s="1"/>
  <c r="T82" i="2"/>
  <c r="T120" i="2" s="1"/>
  <c r="P82" i="2"/>
  <c r="Q82" i="2" s="1"/>
  <c r="R82" i="2" s="1"/>
  <c r="O82" i="2"/>
  <c r="I82" i="2"/>
  <c r="AG80" i="2"/>
  <c r="AG118" i="2" s="1"/>
  <c r="AF80" i="2"/>
  <c r="AF118" i="2" s="1"/>
  <c r="AE80" i="2"/>
  <c r="AE118" i="2" s="1"/>
  <c r="AD80" i="2"/>
  <c r="AD118" i="2" s="1"/>
  <c r="AC80" i="2"/>
  <c r="AC118" i="2" s="1"/>
  <c r="AB80" i="2"/>
  <c r="AB118" i="2" s="1"/>
  <c r="AA80" i="2"/>
  <c r="AA118" i="2" s="1"/>
  <c r="Z80" i="2"/>
  <c r="Z118" i="2" s="1"/>
  <c r="Y80" i="2"/>
  <c r="Y118" i="2" s="1"/>
  <c r="X80" i="2"/>
  <c r="X118" i="2" s="1"/>
  <c r="W80" i="2"/>
  <c r="W118" i="2" s="1"/>
  <c r="V80" i="2"/>
  <c r="V118" i="2" s="1"/>
  <c r="U80" i="2"/>
  <c r="U118" i="2" s="1"/>
  <c r="T80" i="2"/>
  <c r="T118" i="2" s="1"/>
  <c r="L80" i="2"/>
  <c r="M80" i="2" s="1"/>
  <c r="N80" i="2" s="1"/>
  <c r="O80" i="2" s="1"/>
  <c r="P80" i="2" s="1"/>
  <c r="Q80" i="2" s="1"/>
  <c r="R80" i="2" s="1"/>
  <c r="S80" i="2" s="1"/>
  <c r="S118" i="2" s="1"/>
  <c r="I80" i="2"/>
  <c r="AG78" i="2"/>
  <c r="AG116" i="2" s="1"/>
  <c r="AF78" i="2"/>
  <c r="AF116" i="2" s="1"/>
  <c r="AE78" i="2"/>
  <c r="AE116" i="2" s="1"/>
  <c r="AD78" i="2"/>
  <c r="AD116" i="2" s="1"/>
  <c r="AC78" i="2"/>
  <c r="AC116" i="2" s="1"/>
  <c r="AB78" i="2"/>
  <c r="AB116" i="2" s="1"/>
  <c r="AA78" i="2"/>
  <c r="AA116" i="2" s="1"/>
  <c r="Z78" i="2"/>
  <c r="Z116" i="2" s="1"/>
  <c r="Y78" i="2"/>
  <c r="Y116" i="2" s="1"/>
  <c r="X78" i="2"/>
  <c r="X116" i="2" s="1"/>
  <c r="W78" i="2"/>
  <c r="W116" i="2" s="1"/>
  <c r="V78" i="2"/>
  <c r="V116" i="2" s="1"/>
  <c r="U78" i="2"/>
  <c r="U116" i="2" s="1"/>
  <c r="T78" i="2"/>
  <c r="T116" i="2" s="1"/>
  <c r="O78" i="2"/>
  <c r="P78" i="2" s="1"/>
  <c r="N78" i="2"/>
  <c r="I78" i="2"/>
  <c r="AG76" i="2"/>
  <c r="AG114" i="2" s="1"/>
  <c r="AF76" i="2"/>
  <c r="AF114" i="2" s="1"/>
  <c r="AE76" i="2"/>
  <c r="AE114" i="2" s="1"/>
  <c r="AD76" i="2"/>
  <c r="AD114" i="2" s="1"/>
  <c r="AC76" i="2"/>
  <c r="AC114" i="2" s="1"/>
  <c r="AB76" i="2"/>
  <c r="AB114" i="2" s="1"/>
  <c r="AA76" i="2"/>
  <c r="AA114" i="2" s="1"/>
  <c r="Z76" i="2"/>
  <c r="Z114" i="2" s="1"/>
  <c r="Y76" i="2"/>
  <c r="Y114" i="2" s="1"/>
  <c r="X76" i="2"/>
  <c r="X114" i="2" s="1"/>
  <c r="W76" i="2"/>
  <c r="W114" i="2" s="1"/>
  <c r="V76" i="2"/>
  <c r="V114" i="2" s="1"/>
  <c r="U76" i="2"/>
  <c r="U114" i="2" s="1"/>
  <c r="T76" i="2"/>
  <c r="T114" i="2" s="1"/>
  <c r="R76" i="2"/>
  <c r="Q76" i="2"/>
  <c r="I76" i="2"/>
  <c r="AG74" i="2"/>
  <c r="AG112" i="2" s="1"/>
  <c r="AF74" i="2"/>
  <c r="AF112" i="2" s="1"/>
  <c r="AE74" i="2"/>
  <c r="AE112" i="2" s="1"/>
  <c r="AD74" i="2"/>
  <c r="AD112" i="2" s="1"/>
  <c r="AC74" i="2"/>
  <c r="AC112" i="2" s="1"/>
  <c r="AB74" i="2"/>
  <c r="AB112" i="2" s="1"/>
  <c r="AA74" i="2"/>
  <c r="AA112" i="2" s="1"/>
  <c r="Z74" i="2"/>
  <c r="Z112" i="2" s="1"/>
  <c r="Y74" i="2"/>
  <c r="Y112" i="2" s="1"/>
  <c r="X74" i="2"/>
  <c r="X112" i="2" s="1"/>
  <c r="W74" i="2"/>
  <c r="W112" i="2" s="1"/>
  <c r="V74" i="2"/>
  <c r="V112" i="2" s="1"/>
  <c r="U74" i="2"/>
  <c r="U112" i="2" s="1"/>
  <c r="T74" i="2"/>
  <c r="T112" i="2" s="1"/>
  <c r="P74" i="2"/>
  <c r="Q74" i="2" s="1"/>
  <c r="R74" i="2" s="1"/>
  <c r="O74" i="2"/>
  <c r="I74" i="2"/>
  <c r="AG72" i="2"/>
  <c r="AG110" i="2" s="1"/>
  <c r="AF72" i="2"/>
  <c r="AF110" i="2" s="1"/>
  <c r="AE72" i="2"/>
  <c r="AE110" i="2" s="1"/>
  <c r="AD72" i="2"/>
  <c r="AD110" i="2" s="1"/>
  <c r="AC72" i="2"/>
  <c r="AC110" i="2" s="1"/>
  <c r="AB72" i="2"/>
  <c r="AB110" i="2" s="1"/>
  <c r="AA72" i="2"/>
  <c r="AA110" i="2" s="1"/>
  <c r="Z72" i="2"/>
  <c r="Z110" i="2" s="1"/>
  <c r="Y72" i="2"/>
  <c r="Y110" i="2" s="1"/>
  <c r="X72" i="2"/>
  <c r="X110" i="2" s="1"/>
  <c r="W72" i="2"/>
  <c r="W110" i="2" s="1"/>
  <c r="V72" i="2"/>
  <c r="V110" i="2" s="1"/>
  <c r="U72" i="2"/>
  <c r="U110" i="2" s="1"/>
  <c r="T72" i="2"/>
  <c r="T110" i="2" s="1"/>
  <c r="Q72" i="2"/>
  <c r="R72" i="2" s="1"/>
  <c r="P72" i="2"/>
  <c r="I72" i="2"/>
  <c r="AG70" i="2"/>
  <c r="AG108" i="2" s="1"/>
  <c r="AF70" i="2"/>
  <c r="AF108" i="2" s="1"/>
  <c r="AE70" i="2"/>
  <c r="AE108" i="2" s="1"/>
  <c r="AD70" i="2"/>
  <c r="AD108" i="2" s="1"/>
  <c r="AC70" i="2"/>
  <c r="AC108" i="2" s="1"/>
  <c r="AB70" i="2"/>
  <c r="AB108" i="2" s="1"/>
  <c r="AA70" i="2"/>
  <c r="AA108" i="2" s="1"/>
  <c r="Z70" i="2"/>
  <c r="Z108" i="2" s="1"/>
  <c r="Y70" i="2"/>
  <c r="Y108" i="2" s="1"/>
  <c r="X70" i="2"/>
  <c r="X108" i="2" s="1"/>
  <c r="W70" i="2"/>
  <c r="W108" i="2" s="1"/>
  <c r="V70" i="2"/>
  <c r="V108" i="2" s="1"/>
  <c r="U70" i="2"/>
  <c r="U108" i="2" s="1"/>
  <c r="T70" i="2"/>
  <c r="T108" i="2" s="1"/>
  <c r="K70" i="2"/>
  <c r="I70" i="2"/>
  <c r="AG68" i="2"/>
  <c r="AG106" i="2" s="1"/>
  <c r="AF68" i="2"/>
  <c r="AF106" i="2" s="1"/>
  <c r="AE68" i="2"/>
  <c r="AE106" i="2" s="1"/>
  <c r="AD68" i="2"/>
  <c r="AD106" i="2" s="1"/>
  <c r="AC68" i="2"/>
  <c r="AC106" i="2" s="1"/>
  <c r="AB68" i="2"/>
  <c r="AB106" i="2" s="1"/>
  <c r="AA68" i="2"/>
  <c r="AA106" i="2" s="1"/>
  <c r="Z68" i="2"/>
  <c r="Z106" i="2" s="1"/>
  <c r="Y68" i="2"/>
  <c r="Y106" i="2" s="1"/>
  <c r="X68" i="2"/>
  <c r="X106" i="2" s="1"/>
  <c r="W68" i="2"/>
  <c r="W106" i="2" s="1"/>
  <c r="V68" i="2"/>
  <c r="V106" i="2" s="1"/>
  <c r="U68" i="2"/>
  <c r="U106" i="2" s="1"/>
  <c r="T68" i="2"/>
  <c r="AG66" i="2"/>
  <c r="AG104" i="2" s="1"/>
  <c r="AF66" i="2"/>
  <c r="AF104" i="2" s="1"/>
  <c r="AE66" i="2"/>
  <c r="AE104" i="2" s="1"/>
  <c r="AD66" i="2"/>
  <c r="AD104" i="2" s="1"/>
  <c r="AC66" i="2"/>
  <c r="AC104" i="2" s="1"/>
  <c r="AB66" i="2"/>
  <c r="AB104" i="2" s="1"/>
  <c r="AA66" i="2"/>
  <c r="AA104" i="2" s="1"/>
  <c r="Z66" i="2"/>
  <c r="Z104" i="2" s="1"/>
  <c r="Y66" i="2"/>
  <c r="Y104" i="2" s="1"/>
  <c r="X66" i="2"/>
  <c r="X104" i="2" s="1"/>
  <c r="W66" i="2"/>
  <c r="W104" i="2" s="1"/>
  <c r="V66" i="2"/>
  <c r="V104" i="2" s="1"/>
  <c r="U66" i="2"/>
  <c r="U104" i="2" s="1"/>
  <c r="T66" i="2"/>
  <c r="T104" i="2" s="1"/>
  <c r="J66" i="2"/>
  <c r="K66" i="2" s="1"/>
  <c r="I66" i="2"/>
  <c r="I60" i="2"/>
  <c r="J60" i="2" s="1"/>
  <c r="K60" i="2" s="1"/>
  <c r="L60" i="2" s="1"/>
  <c r="M60" i="2" s="1"/>
  <c r="N60" i="2" s="1"/>
  <c r="O60" i="2" s="1"/>
  <c r="P60" i="2" s="1"/>
  <c r="Q60" i="2" s="1"/>
  <c r="R60" i="2" s="1"/>
  <c r="S60" i="2" s="1"/>
  <c r="T60" i="2" s="1"/>
  <c r="U60" i="2" s="1"/>
  <c r="V60" i="2" s="1"/>
  <c r="W60" i="2" s="1"/>
  <c r="X60" i="2" s="1"/>
  <c r="Y60" i="2" s="1"/>
  <c r="Z60" i="2" s="1"/>
  <c r="AA60" i="2" s="1"/>
  <c r="AB60" i="2" s="1"/>
  <c r="AC60" i="2" s="1"/>
  <c r="AD60" i="2" s="1"/>
  <c r="AE60" i="2" s="1"/>
  <c r="AF60" i="2" s="1"/>
  <c r="AG60" i="2" s="1"/>
  <c r="AH60" i="2" s="1"/>
  <c r="AI60" i="2" s="1"/>
  <c r="AJ60" i="2" s="1"/>
  <c r="AK60" i="2" s="1"/>
  <c r="AL60" i="2" s="1"/>
  <c r="AM60" i="2" s="1"/>
  <c r="AN60" i="2" s="1"/>
  <c r="AO60" i="2" s="1"/>
  <c r="AP60" i="2" s="1"/>
  <c r="AQ60" i="2" s="1"/>
  <c r="AR60" i="2" s="1"/>
  <c r="AS60" i="2" s="1"/>
  <c r="AT60" i="2" s="1"/>
  <c r="AU60" i="2" s="1"/>
  <c r="AV60" i="2" s="1"/>
  <c r="AW60" i="2" s="1"/>
  <c r="B136" i="2" l="1"/>
  <c r="D154" i="2"/>
  <c r="B98" i="2"/>
  <c r="B69" i="2"/>
  <c r="B75" i="2"/>
  <c r="B133" i="2"/>
  <c r="B77" i="2"/>
  <c r="B87" i="2"/>
  <c r="B89" i="2"/>
  <c r="B85" i="2"/>
  <c r="B119" i="2"/>
  <c r="B83" i="2"/>
  <c r="B73" i="2"/>
  <c r="B123" i="2"/>
  <c r="F80" i="2"/>
  <c r="F92" i="2"/>
  <c r="F74" i="2"/>
  <c r="F86" i="2"/>
  <c r="F76" i="2"/>
  <c r="F88" i="2"/>
  <c r="F66" i="2"/>
  <c r="F70" i="2"/>
  <c r="F78" i="2"/>
  <c r="F90" i="2"/>
  <c r="F84" i="2"/>
  <c r="F82" i="2"/>
  <c r="F68" i="2"/>
  <c r="F72" i="2"/>
  <c r="B111" i="2"/>
  <c r="B131" i="2"/>
  <c r="B109" i="2"/>
  <c r="B113" i="2"/>
  <c r="B127" i="2"/>
  <c r="B91" i="2"/>
  <c r="B117" i="2"/>
  <c r="B105" i="2"/>
  <c r="B121" i="2"/>
  <c r="B115" i="2"/>
  <c r="B129" i="2"/>
  <c r="B93" i="2"/>
  <c r="B125" i="2"/>
  <c r="Q78" i="2"/>
  <c r="R78" i="2" s="1"/>
  <c r="R94" i="2"/>
  <c r="B95" i="2" s="1"/>
  <c r="T106" i="2"/>
  <c r="B107" i="2" s="1"/>
  <c r="L66" i="2"/>
  <c r="M66" i="2" s="1"/>
  <c r="N66" i="2" s="1"/>
  <c r="O66" i="2" s="1"/>
  <c r="P66" i="2" s="1"/>
  <c r="Q66" i="2" s="1"/>
  <c r="R66" i="2" s="1"/>
  <c r="B81" i="2"/>
  <c r="L70" i="2"/>
  <c r="M70" i="2" s="1"/>
  <c r="N70" i="2" s="1"/>
  <c r="O70" i="2" s="1"/>
  <c r="P70" i="2" s="1"/>
  <c r="Q70" i="2" s="1"/>
  <c r="R70" i="2" s="1"/>
  <c r="D152" i="2" l="1"/>
  <c r="D155" i="2"/>
  <c r="D151" i="2"/>
  <c r="D153" i="2"/>
  <c r="B67" i="2"/>
  <c r="B71" i="2"/>
  <c r="B79" i="2"/>
  <c r="B135" i="2"/>
  <c r="B137" i="2" s="1"/>
  <c r="B138" i="2" s="1"/>
  <c r="B97" i="2" l="1"/>
  <c r="B99" i="2" s="1"/>
  <c r="B100" i="2" l="1"/>
  <c r="B140" i="2"/>
  <c r="F44" i="2" l="1"/>
  <c r="G45" i="2" s="1"/>
  <c r="F51" i="2"/>
  <c r="F9" i="2" s="1"/>
  <c r="E51" i="2"/>
  <c r="E9" i="2" s="1"/>
  <c r="D51" i="2"/>
  <c r="D9" i="2" s="1"/>
  <c r="C51" i="2"/>
  <c r="C9" i="2" s="1"/>
  <c r="B51" i="2"/>
  <c r="B48" i="2"/>
  <c r="C46" i="2" s="1"/>
  <c r="C43" i="2"/>
  <c r="D43" i="2" s="1"/>
  <c r="E43" i="2" s="1"/>
  <c r="F43" i="2" s="1"/>
  <c r="G43" i="2" s="1"/>
  <c r="H43" i="2" s="1"/>
  <c r="I43" i="2" s="1"/>
  <c r="J43" i="2" s="1"/>
  <c r="K43" i="2" s="1"/>
  <c r="L43" i="2" s="1"/>
  <c r="M43" i="2" s="1"/>
  <c r="N43" i="2" s="1"/>
  <c r="O43" i="2" s="1"/>
  <c r="P43" i="2" s="1"/>
  <c r="Q43" i="2" s="1"/>
  <c r="R43" i="2" s="1"/>
  <c r="S43" i="2" s="1"/>
  <c r="T43" i="2" s="1"/>
  <c r="U43" i="2" s="1"/>
  <c r="V43" i="2" s="1"/>
  <c r="W43" i="2" s="1"/>
  <c r="X43" i="2" s="1"/>
  <c r="Y43" i="2" s="1"/>
  <c r="Z43" i="2" s="1"/>
  <c r="AA43" i="2" s="1"/>
  <c r="AB43" i="2" s="1"/>
  <c r="G8" i="2"/>
  <c r="F8" i="2"/>
  <c r="E8" i="2"/>
  <c r="D8" i="2"/>
  <c r="D12" i="2" s="1"/>
  <c r="C8" i="2"/>
  <c r="C12" i="2" s="1"/>
  <c r="D4" i="2"/>
  <c r="E4" i="2" s="1"/>
  <c r="F4" i="2" s="1"/>
  <c r="G4" i="2" s="1"/>
  <c r="B29" i="2"/>
  <c r="C24" i="2"/>
  <c r="D24" i="2" s="1"/>
  <c r="E24" i="2" s="1"/>
  <c r="F24" i="2" s="1"/>
  <c r="G24" i="2" s="1"/>
  <c r="H24" i="2" s="1"/>
  <c r="I24" i="2" s="1"/>
  <c r="J24" i="2" s="1"/>
  <c r="K24" i="2" s="1"/>
  <c r="L24" i="2" s="1"/>
  <c r="M24" i="2" s="1"/>
  <c r="N24" i="2" s="1"/>
  <c r="O24" i="2" s="1"/>
  <c r="P24" i="2" s="1"/>
  <c r="G7" i="2"/>
  <c r="F7" i="2"/>
  <c r="E7" i="2"/>
  <c r="D7" i="2"/>
  <c r="C7" i="2"/>
  <c r="B31" i="2" l="1"/>
  <c r="E151" i="2"/>
  <c r="C48" i="2"/>
  <c r="R47" i="2"/>
  <c r="H45" i="2"/>
  <c r="X47" i="2" s="1"/>
  <c r="X51" i="2" s="1"/>
  <c r="D13" i="2"/>
  <c r="D15" i="2" s="1"/>
  <c r="G12" i="2"/>
  <c r="C13" i="2"/>
  <c r="C15" i="2" s="1"/>
  <c r="E12" i="2"/>
  <c r="F12" i="2"/>
  <c r="G151" i="2" l="1"/>
  <c r="H151" i="2" s="1"/>
  <c r="H152" i="2" s="1"/>
  <c r="F152" i="2" s="1"/>
  <c r="E153" i="2"/>
  <c r="S47" i="2"/>
  <c r="I45" i="2"/>
  <c r="Y47" i="2" s="1"/>
  <c r="Y51" i="2" s="1"/>
  <c r="D46" i="2"/>
  <c r="E13" i="2"/>
  <c r="E15" i="2" s="1"/>
  <c r="F13" i="2"/>
  <c r="F15" i="2" s="1"/>
  <c r="D48" i="2" l="1"/>
  <c r="J45" i="2"/>
  <c r="Z47" i="2" s="1"/>
  <c r="Z51" i="2" s="1"/>
  <c r="T47" i="2" l="1"/>
  <c r="K45" i="2"/>
  <c r="AB47" i="2" s="1"/>
  <c r="AB51" i="2" s="1"/>
  <c r="AA47" i="2"/>
  <c r="AA51" i="2" s="1"/>
  <c r="E46" i="2"/>
  <c r="E48" i="2" l="1"/>
  <c r="F46" i="2" s="1"/>
  <c r="F48" i="2" l="1"/>
  <c r="W47" i="2" s="1"/>
  <c r="U47" i="2"/>
  <c r="G46" i="2" l="1"/>
  <c r="V47" i="2"/>
  <c r="H46" i="2" l="1"/>
  <c r="G49" i="2"/>
  <c r="G51" i="2" s="1"/>
  <c r="G9" i="2" s="1"/>
  <c r="G13" i="2" s="1"/>
  <c r="G15" i="2" s="1"/>
  <c r="H15" i="2" s="1"/>
  <c r="H49" i="2" l="1"/>
  <c r="H51" i="2" s="1"/>
  <c r="I46" i="2"/>
  <c r="J46" i="2" l="1"/>
  <c r="I49" i="2"/>
  <c r="I51" i="2" s="1"/>
  <c r="K46" i="2" l="1"/>
  <c r="J49" i="2"/>
  <c r="J51" i="2" s="1"/>
  <c r="L46" i="2" l="1"/>
  <c r="K49" i="2"/>
  <c r="K51" i="2" s="1"/>
  <c r="L49" i="2" l="1"/>
  <c r="L51" i="2" s="1"/>
  <c r="M46" i="2"/>
  <c r="M49" i="2" l="1"/>
  <c r="M51" i="2" s="1"/>
  <c r="N46" i="2"/>
  <c r="O46" i="2" l="1"/>
  <c r="N49" i="2"/>
  <c r="N51" i="2" s="1"/>
  <c r="P46" i="2" l="1"/>
  <c r="O49" i="2"/>
  <c r="O51" i="2" s="1"/>
  <c r="Q46" i="2" l="1"/>
  <c r="P49" i="2"/>
  <c r="P51" i="2" s="1"/>
  <c r="R46" i="2" l="1"/>
  <c r="Q49" i="2"/>
  <c r="Q51" i="2" s="1"/>
  <c r="S46" i="2" l="1"/>
  <c r="R49" i="2"/>
  <c r="R51" i="2" s="1"/>
  <c r="S49" i="2" l="1"/>
  <c r="S51" i="2" s="1"/>
  <c r="T46" i="2"/>
  <c r="T49" i="2" l="1"/>
  <c r="T51" i="2" s="1"/>
  <c r="U46" i="2"/>
  <c r="U49" i="2" l="1"/>
  <c r="U51" i="2" s="1"/>
  <c r="V46" i="2"/>
  <c r="W46" i="2" l="1"/>
  <c r="V49" i="2"/>
  <c r="V51" i="2" s="1"/>
  <c r="X46" i="2" l="1"/>
  <c r="Y46" i="2" s="1"/>
  <c r="Z46" i="2" s="1"/>
  <c r="AA46" i="2" s="1"/>
  <c r="AB46" i="2" s="1"/>
  <c r="W49" i="2"/>
  <c r="W51" i="2" s="1"/>
  <c r="B55" i="2" s="1"/>
  <c r="B57" i="2" l="1"/>
  <c r="E154" i="2"/>
  <c r="B159" i="2" l="1"/>
  <c r="E156" i="2"/>
  <c r="B158" i="2" s="1"/>
  <c r="F156" i="2"/>
  <c r="G156" i="2" s="1"/>
  <c r="K47" i="1" l="1"/>
  <c r="L47" i="1" s="1"/>
  <c r="M47" i="1" s="1"/>
  <c r="N47" i="1" s="1"/>
  <c r="O47" i="1" s="1"/>
  <c r="P47" i="1" s="1"/>
  <c r="Q47" i="1" s="1"/>
  <c r="R47" i="1" s="1"/>
  <c r="S47" i="1" s="1"/>
  <c r="T47" i="1" s="1"/>
  <c r="U47" i="1" s="1"/>
  <c r="V47" i="1" s="1"/>
  <c r="W47" i="1" s="1"/>
  <c r="X47" i="1" s="1"/>
  <c r="Y47" i="1" s="1"/>
  <c r="Z47" i="1" s="1"/>
  <c r="AA47" i="1" s="1"/>
  <c r="B52" i="1"/>
  <c r="B54" i="1" s="1"/>
  <c r="L37" i="1"/>
  <c r="K37" i="1"/>
  <c r="J37" i="1"/>
  <c r="I37" i="1"/>
  <c r="H37" i="1"/>
  <c r="G37" i="1"/>
  <c r="F37" i="1"/>
  <c r="E37" i="1"/>
  <c r="D37" i="1"/>
  <c r="C37" i="1"/>
  <c r="M34" i="1"/>
  <c r="M37" i="1" s="1"/>
  <c r="M31" i="1"/>
  <c r="N34" i="1" s="1"/>
  <c r="N37" i="1" s="1"/>
  <c r="M19" i="1"/>
  <c r="L19" i="1"/>
  <c r="K19" i="1"/>
  <c r="J19" i="1"/>
  <c r="I19" i="1"/>
  <c r="H19" i="1"/>
  <c r="G19" i="1"/>
  <c r="F19" i="1"/>
  <c r="E19" i="1"/>
  <c r="D19" i="1"/>
  <c r="C19" i="1"/>
  <c r="C10" i="1"/>
  <c r="B10" i="1"/>
  <c r="E5" i="1"/>
  <c r="C4" i="1"/>
  <c r="D4" i="1" s="1"/>
  <c r="C54" i="1" l="1"/>
  <c r="B9" i="7"/>
  <c r="B3" i="7"/>
  <c r="B15" i="7"/>
  <c r="N31" i="1"/>
  <c r="B23" i="1"/>
  <c r="D10" i="1"/>
  <c r="B17" i="7" l="1"/>
  <c r="H15" i="7"/>
  <c r="H17" i="7" s="1"/>
  <c r="B25" i="1"/>
  <c r="B62" i="1"/>
  <c r="B11" i="7"/>
  <c r="H9" i="7"/>
  <c r="H11" i="7" s="1"/>
  <c r="B5" i="7"/>
  <c r="H3" i="7"/>
  <c r="H5" i="7" s="1"/>
  <c r="O31" i="1"/>
  <c r="O34" i="1"/>
  <c r="O37" i="1" s="1"/>
  <c r="C62" i="1" l="1"/>
  <c r="P31" i="1"/>
  <c r="P34" i="1"/>
  <c r="P37" i="1" s="1"/>
  <c r="Q34" i="1" l="1"/>
  <c r="Q32" i="1"/>
  <c r="Q31" i="1" l="1"/>
  <c r="Q37" i="1"/>
  <c r="B41" i="1" s="1"/>
  <c r="B63" i="1" s="1"/>
  <c r="C63" i="1" l="1"/>
  <c r="B64" i="1"/>
  <c r="C64" i="1" s="1"/>
</calcChain>
</file>

<file path=xl/sharedStrings.xml><?xml version="1.0" encoding="utf-8"?>
<sst xmlns="http://schemas.openxmlformats.org/spreadsheetml/2006/main" count="1475" uniqueCount="432">
  <si>
    <t>Chad</t>
  </si>
  <si>
    <t>External government debt payments as percentage of revenue</t>
  </si>
  <si>
    <t>Average</t>
  </si>
  <si>
    <t>Source</t>
  </si>
  <si>
    <t>https://www.imf.org/en/Publications/CR/Issues/2023/01/12/Chad-First-and-Second-Reviews-Under-the-Extended-Credit-Facility-Arrangement-Requests-for-528092</t>
  </si>
  <si>
    <t>Total external debt service, % government revenue</t>
  </si>
  <si>
    <t>Commercial external debt service, % government revenue</t>
  </si>
  <si>
    <t>Percentage commercial</t>
  </si>
  <si>
    <t xml:space="preserve">External debt service </t>
  </si>
  <si>
    <t>(principal and interest) $ million</t>
  </si>
  <si>
    <t>Debt owed end 2020</t>
  </si>
  <si>
    <t>https://www.imf.org/en/Publications/CR/Issues/2021/12/15/Chad-Request-for-a-Three-Year-Arrangement-under-the-Extended-Credit-Facility-Press-Release-511043</t>
  </si>
  <si>
    <t>World Bank IDS has all private external debt paid off by 2030, so assume this is the case</t>
  </si>
  <si>
    <t>Cash flow</t>
  </si>
  <si>
    <t>Discount rate</t>
  </si>
  <si>
    <t>NPV</t>
  </si>
  <si>
    <t>Ratio of new NPV to amount lent</t>
  </si>
  <si>
    <t>Bilateral</t>
  </si>
  <si>
    <t>Debt outstanding</t>
  </si>
  <si>
    <t>IDS</t>
  </si>
  <si>
    <t>Interest rate on bilateral debt</t>
  </si>
  <si>
    <t>Interest payments</t>
  </si>
  <si>
    <t>World Bank IDS has 217 million external bilateral debt still owed by end-2030, so estimated from there</t>
  </si>
  <si>
    <t>Private</t>
  </si>
  <si>
    <t>Commerical / Glencore external debt service, $ million</t>
  </si>
  <si>
    <t>Calculated from https://www.imf.org/en/Publications/CR/Issues/2021/12/15/Chad-Request-for-a-Three-Year-Arrangement-under-the-Extended-Credit-Facility-Press-Release-511043 and https://www.imf.org/en/Publications/CR/Issues/2023/01/12/Chad-First-and-Second-Reviews-Under-the-Extended-Credit-Facility-Arrangement-Requests-for-528092 but these only go up to 2030. World Bank database has $75m still owed at end-2030, so added this to 2031</t>
  </si>
  <si>
    <t>Bilateral, $ million</t>
  </si>
  <si>
    <t>Calculated from World Bank International Debt Statistics database</t>
  </si>
  <si>
    <t>Calculated from https://www.imf.org/en/Publications/CR/Issues/2021/12/15/Chad-Request-for-a-Three-Year-Arrangement-under-the-Extended-Credit-Facility-Press-Release-511043 and https://www.imf.org/en/Publications/CR/Issues/2023/01/12/Chad-First-and-Second-Reviews-Under-the-Extended-Credit-Facility-Arrangement-Requests-for-528092 but these only go up to 2030. World Bank database has $217m still owed at end-2030, so added this to 2031-2035</t>
  </si>
  <si>
    <t>Principal payments</t>
  </si>
  <si>
    <t>1. External government debt payments as percentage of revenue</t>
  </si>
  <si>
    <t>2. Bilateral and private payments comparison</t>
  </si>
  <si>
    <t>3. Private sector profit</t>
  </si>
  <si>
    <t>Cash flow on Glencore loan</t>
  </si>
  <si>
    <t>[No data beyond 2030, but in World Bank docs $75m still to be paid, so added this to 2031]</t>
  </si>
  <si>
    <t>Face value</t>
  </si>
  <si>
    <t>Year issued</t>
  </si>
  <si>
    <t>Glencore loan</t>
  </si>
  <si>
    <t>2013 and 2014</t>
  </si>
  <si>
    <t>NPV of loan</t>
  </si>
  <si>
    <t>Profit as percentage of amount lent</t>
  </si>
  <si>
    <t>Profit</t>
  </si>
  <si>
    <t>[data to 2020 from World Bank International Debt Statistics database, from 2021 from IMF docs]</t>
  </si>
  <si>
    <t xml:space="preserve">Source: </t>
  </si>
  <si>
    <t>https://home.treasury.gov/resource-center/data-chart-center/interest-rates/TextView?type=daily_treasury_yield_curve&amp;field_tdr_date_value_month=202409</t>
  </si>
  <si>
    <t>World Bank International Debt Statistics database</t>
  </si>
  <si>
    <t>4. Change in NPV of total debt</t>
  </si>
  <si>
    <t>Breakdown of present value</t>
  </si>
  <si>
    <t>Multilateral</t>
  </si>
  <si>
    <t>Total government external debt, $ million NPV</t>
  </si>
  <si>
    <t>Source:</t>
  </si>
  <si>
    <t>World Bank International Debt Statistics database, amount for end-2022</t>
  </si>
  <si>
    <t>Percentage</t>
  </si>
  <si>
    <t>Ghana</t>
  </si>
  <si>
    <t>Government revenue % GDP</t>
  </si>
  <si>
    <t>GDP</t>
  </si>
  <si>
    <t>Government revenue $ million</t>
  </si>
  <si>
    <t>Bondholder debt service</t>
  </si>
  <si>
    <t>Bilateral debt service</t>
  </si>
  <si>
    <t>Multilateral debt</t>
  </si>
  <si>
    <t>IMF</t>
  </si>
  <si>
    <t>Other private external if similar terms to bonds</t>
  </si>
  <si>
    <t>IMF docs say present value of non-bond private external is 34% of bonds, so used that ratio</t>
  </si>
  <si>
    <t>Total external debt service</t>
  </si>
  <si>
    <t>External debt service as percentage government revenue estimates</t>
  </si>
  <si>
    <t>IMF threshold for Ghana</t>
  </si>
  <si>
    <t>Bonds</t>
  </si>
  <si>
    <t>https://www.prnewswire.com/news-releases/the-government-of-the-republic-of-ghana-and-representatives-of-bondholders-reach-an-agreement-in-principle-on-the-terms-of-the-eurobonds-restructuring-302179981.html</t>
  </si>
  <si>
    <t>Consent fee</t>
  </si>
  <si>
    <t>Principal owed</t>
  </si>
  <si>
    <t>Interest</t>
  </si>
  <si>
    <t>Percentage reduction in NPV</t>
  </si>
  <si>
    <t>Nominal amount owed</t>
  </si>
  <si>
    <t>https://www.imf.org/en/Publications/CR/Issues/2024/01/25/Ghana-2023-Article-IV-Consultation-First-Review-Under-the-Extended-Credit-Facility-544137</t>
  </si>
  <si>
    <t>New payment schedule</t>
  </si>
  <si>
    <t>https://www.bloomberg.com/news/articles/2024-01-17/ghana-wins-debt-moratorium-until-2026-from-official-creditors</t>
  </si>
  <si>
    <t>Debt service missed during IMF programme to be capiatlised, with interest paid on it (presumably from 2028 on)</t>
  </si>
  <si>
    <t>IMF https://www.imf.org/en/Publications/CR/Issues/2024/07/11/Ghana-Second-Review-under-the-Extended-Credit-Facility-Request-for-Modification-of-551740</t>
  </si>
  <si>
    <t>All deferred payments 2023-2027 to be repaid in 16-17 years</t>
  </si>
  <si>
    <t>Assume same interest rate as before</t>
  </si>
  <si>
    <t>Original payment schedule</t>
  </si>
  <si>
    <t>Prinicpal owed</t>
  </si>
  <si>
    <t>Interest originally due to be capitalised</t>
  </si>
  <si>
    <t>Ratio of NPV to amount lent</t>
  </si>
  <si>
    <t>No payments for 2024 to 2027, principal payments to start from 2039</t>
  </si>
  <si>
    <t>Original principal due to be paid 2023 to 2027</t>
  </si>
  <si>
    <t>Calculations below based on Bloomberg and IMF</t>
  </si>
  <si>
    <t>IMF website</t>
  </si>
  <si>
    <t>Scheduled payments before debt relief</t>
  </si>
  <si>
    <t>https://www.imf.org/en/Publications/CR/Issues/2024/07/11/Ghana-Second-Review-under-the-Extended-Credit-Facility-Request-for-Modification-of-551740</t>
  </si>
  <si>
    <t>Cash flow on new bonds, baseline</t>
  </si>
  <si>
    <t>Total owed on bonds</t>
  </si>
  <si>
    <t>Code</t>
  </si>
  <si>
    <t>Face value owed</t>
  </si>
  <si>
    <t>Coupon</t>
  </si>
  <si>
    <t>Percentage of bonds owed</t>
  </si>
  <si>
    <t>Discount rate for US$ bond in year of issue and length of payments</t>
  </si>
  <si>
    <t>Amount lent (face value * issue price)</t>
  </si>
  <si>
    <t>Bond 1</t>
  </si>
  <si>
    <t>XS0956935398</t>
  </si>
  <si>
    <t>NPV Bond 1</t>
  </si>
  <si>
    <t>Bond 2</t>
  </si>
  <si>
    <t>XS2325742166</t>
  </si>
  <si>
    <t>NPV bond 2</t>
  </si>
  <si>
    <t>Bond 3</t>
  </si>
  <si>
    <t>XS1108847531</t>
  </si>
  <si>
    <t>NPV bond 3</t>
  </si>
  <si>
    <t>Bond 4</t>
  </si>
  <si>
    <t>XS2115122538</t>
  </si>
  <si>
    <t>Bond 5</t>
  </si>
  <si>
    <t>XS1968714110</t>
  </si>
  <si>
    <t>Bond 6</t>
  </si>
  <si>
    <t>XS2325748106</t>
  </si>
  <si>
    <t>Bond 7</t>
  </si>
  <si>
    <t>XS1821416234</t>
  </si>
  <si>
    <t>Bond 8</t>
  </si>
  <si>
    <t>XS1297557412</t>
  </si>
  <si>
    <t>NPV bond</t>
  </si>
  <si>
    <t>Bond 9</t>
  </si>
  <si>
    <t>XS1968714540</t>
  </si>
  <si>
    <t>Bond 10</t>
  </si>
  <si>
    <t>XS2325747397</t>
  </si>
  <si>
    <t>Bond 11</t>
  </si>
  <si>
    <t>XS2115141751</t>
  </si>
  <si>
    <t>Bond 12</t>
  </si>
  <si>
    <t>XS2325747637 </t>
  </si>
  <si>
    <t>Bond 13</t>
  </si>
  <si>
    <t>XS1821416408</t>
  </si>
  <si>
    <t>Bond 14</t>
  </si>
  <si>
    <t>XS1968714623</t>
  </si>
  <si>
    <t>Bond 15</t>
  </si>
  <si>
    <t>XS2115147287</t>
  </si>
  <si>
    <t>Total NPV</t>
  </si>
  <si>
    <t>Total amount lent</t>
  </si>
  <si>
    <t>Cash flow for bond buyers, baseline</t>
  </si>
  <si>
    <t>Price average Sep 2021 to Sep 2024</t>
  </si>
  <si>
    <t>Cost</t>
  </si>
  <si>
    <t>US$ yield when bond bought</t>
  </si>
  <si>
    <t>Total amount spent on bonds</t>
  </si>
  <si>
    <t>From IMF for end-2022 (have taken out local-currency external debt) https://www.imf.org/en/Publications/CR/Issues/2024/01/25/Ghana-2023-Article-IV-Consultation-First-Review-Under-the-Extended-Credit-Facility-544137</t>
  </si>
  <si>
    <t>pre-restructuring</t>
  </si>
  <si>
    <t>post-restructuring</t>
  </si>
  <si>
    <t>Private bondholders</t>
  </si>
  <si>
    <t>Private non-bondholders</t>
  </si>
  <si>
    <t>Percentage reduction in NPV of debt included in restructuring so far</t>
  </si>
  <si>
    <t>NPV $ million total government external debt</t>
  </si>
  <si>
    <t>Total private</t>
  </si>
  <si>
    <t>Total</t>
  </si>
  <si>
    <t>Pre-restructuring</t>
  </si>
  <si>
    <t>Percentage owed pre-restructuring</t>
  </si>
  <si>
    <t>New NPV if included in restructuring on same terms as bondholders</t>
  </si>
  <si>
    <t>Fall in NPV of bondholders</t>
  </si>
  <si>
    <t>Percentage change in NPV of bondholders</t>
  </si>
  <si>
    <t>Central profit estimate</t>
  </si>
  <si>
    <t>Central profit estimate, %</t>
  </si>
  <si>
    <t>Amount 'lent' split equally between original lenders and bond buyers</t>
  </si>
  <si>
    <t>Amount of debt relief</t>
  </si>
  <si>
    <t>Sri Lanka</t>
  </si>
  <si>
    <t>https://www.imf.org/en/Publications/CR/Issues/2023/12/12/Sri-Lanka-First-Review-Under-the-Extended-Arrangement-Under-the-Extended-Fund-Facility-542441</t>
  </si>
  <si>
    <t>Foreign currency debt service as percentage of GDP</t>
  </si>
  <si>
    <t>Government revenue as % GDP</t>
  </si>
  <si>
    <t>External debt service as percentage of revenue</t>
  </si>
  <si>
    <t xml:space="preserve">What the IMF says should happen post restructuring, December 2023 </t>
  </si>
  <si>
    <t>Bondholders deal September 2024</t>
  </si>
  <si>
    <t>Amount owed end-2022, $ million</t>
  </si>
  <si>
    <t>Baseline</t>
  </si>
  <si>
    <t>PDI bond</t>
  </si>
  <si>
    <t>Highest upside</t>
  </si>
  <si>
    <t>Lowest downside</t>
  </si>
  <si>
    <t>https://www.londonstockexchange.com/news-article/70ZL/announcement-of-agreement-in-principle/16674142</t>
  </si>
  <si>
    <t>https://www.imf.org/en/Publications/CR/Issues/2023/03/20/Sri-Lanka-Request-for-an-Extended-Arrangement-Under-the-Extended-Fund-Facility-Press-531191</t>
  </si>
  <si>
    <t>No reduction in principal</t>
  </si>
  <si>
    <t>https://asia.nikkei.com/Spotlight/Sri-Lanka-crisis/Sri-Lanka-s-debt-repayments-to-be-suspended-until-2028</t>
  </si>
  <si>
    <t>Repayments from 2028 to 2042</t>
  </si>
  <si>
    <t>Interest 2%</t>
  </si>
  <si>
    <t>Cash flow on new bonds, highest upside</t>
  </si>
  <si>
    <t>Cash flow on new bonds, lowest downside</t>
  </si>
  <si>
    <t>Profit in baseline</t>
  </si>
  <si>
    <t>USY8137FAR92</t>
  </si>
  <si>
    <t>USY8137FAL23</t>
  </si>
  <si>
    <t>USY8137FAP37</t>
  </si>
  <si>
    <t>USY8137FAF54</t>
  </si>
  <si>
    <t>USY8137FAE89</t>
  </si>
  <si>
    <t>USY8137FAC24</t>
  </si>
  <si>
    <t>USY8137FAN88</t>
  </si>
  <si>
    <t>USY2029SAH77</t>
  </si>
  <si>
    <t>USY8137FAH11</t>
  </si>
  <si>
    <t>USY8137FAK40</t>
  </si>
  <si>
    <t>USY8137FAQ10</t>
  </si>
  <si>
    <t>Profit in upside</t>
  </si>
  <si>
    <t>Profit in downside</t>
  </si>
  <si>
    <t>Profit for bond buyers baseline</t>
  </si>
  <si>
    <t>Price Covid to Sep 2024</t>
  </si>
  <si>
    <t>Total spent on bonds</t>
  </si>
  <si>
    <t>Profit for bond buyers upside</t>
  </si>
  <si>
    <t>Profit for bond buyers downside</t>
  </si>
  <si>
    <t>Calculated from bonds, see below, Sri Lankan government says $12.5 billion https://treasury.gov.lk/api/file/b0f5c1c0-9cd6-484e-8d00-8f6c7b7b0ba9</t>
  </si>
  <si>
    <t>From World Bank IDS for end-2022</t>
  </si>
  <si>
    <t>NPV $ million pre restructuring</t>
  </si>
  <si>
    <t>Private total</t>
  </si>
  <si>
    <t>Bond pre restructuring NPV calculation</t>
  </si>
  <si>
    <t>Maturity</t>
  </si>
  <si>
    <t>Nominal debt</t>
  </si>
  <si>
    <t>Interest rate</t>
  </si>
  <si>
    <t>Non-bond private creditors</t>
  </si>
  <si>
    <t>World Bank IDS database</t>
  </si>
  <si>
    <t>Calculated from World Bank IDS database</t>
  </si>
  <si>
    <t>Bilateral pre restructuring calculation</t>
  </si>
  <si>
    <t>Percentage more private creditors receiving than bilateral</t>
  </si>
  <si>
    <t>Percentage of NPV debt owed</t>
  </si>
  <si>
    <t>Suriname</t>
  </si>
  <si>
    <t>https://www.imf.org/en/Publications/CR/Issues/2024/07/30/Suriname-Sixth-Review-Under-the-Extended-Arrangement-Under-the-Extended-Fund-Facility-Press-552783</t>
  </si>
  <si>
    <t>External  public amortization, $ million</t>
  </si>
  <si>
    <t>External public debt effective interest rate</t>
  </si>
  <si>
    <t>External public debt % GDP</t>
  </si>
  <si>
    <t>External public debt $ million</t>
  </si>
  <si>
    <t>Interest payments, $ million</t>
  </si>
  <si>
    <t>Total external public debt payments, $ million</t>
  </si>
  <si>
    <t>Government revenue, % GDP</t>
  </si>
  <si>
    <t>Government revenue, $ million</t>
  </si>
  <si>
    <t>External debt service % government revenue</t>
  </si>
  <si>
    <t>GDP, $ billion, IMF World Economic Outlook database</t>
  </si>
  <si>
    <t>https://gov.sr/restructuring-of-bondholders-finalized/</t>
  </si>
  <si>
    <t>Expenses</t>
  </si>
  <si>
    <t>https://www.prnewswire.com/news-releases/republic-of-suriname-announces-successful-settlement-of-invitation-302008277.html</t>
  </si>
  <si>
    <t>Disocunt rate</t>
  </si>
  <si>
    <t xml:space="preserve">Sources: </t>
  </si>
  <si>
    <t>Nominal amount owed pre-restructuring</t>
  </si>
  <si>
    <t>Possible oil payments</t>
  </si>
  <si>
    <t>First production possible in 2028 https://www.offshore-mag.com/field-development/article/55056408/block-58-offshore-suriname-moves-closer-to-development</t>
  </si>
  <si>
    <t>Initial VRI was $275.6 million, with annual interest of 9%, which can be capitalised. By final agreement this had grown to $315 million Hard cap is 2.5 x VRI, so $788 million, with final date 2050 https://www.prnewswire.com/news-releases/republic-of-suriname-reaches-agreement-in-principle-with-euronote-creditor-committee-on-debt-restructuring-terms-301815130.html#:~:text=Value%20Recovery%20Instrument%20(the%20%22VRI%22)&amp;text=The%20Initial%20VRI%20Amount%20PLUS,of%20VRI%20payments%20already%20made. https://www.prnewswire.com/news-releases/republic-of-suriname-announces-successful-settlement-of-invitation-302008277.html</t>
  </si>
  <si>
    <t>Cash flow with oil payments</t>
  </si>
  <si>
    <t>For simplicity we assumed equal payments to meet maximum of $788 million from 2029 to 2050</t>
  </si>
  <si>
    <t>New Paris Club estimated schedule</t>
  </si>
  <si>
    <t>Principal owed ODA</t>
  </si>
  <si>
    <t>Principal owed non ODA</t>
  </si>
  <si>
    <t>Interest ODA</t>
  </si>
  <si>
    <t>Interest non ODA</t>
  </si>
  <si>
    <t>https://clubdeparis.org/en/communications/press-release/the-paris-club-provides-a-debt-treatment-to-the-republic-of-suriname-24</t>
  </si>
  <si>
    <t>Principal schedule ODA: 17-20 years, 4-7 years grace from 2024</t>
  </si>
  <si>
    <t>ODA owed</t>
  </si>
  <si>
    <t>Interest on ODA</t>
  </si>
  <si>
    <t>Principal schedule non ODA: 12-15 years, 5-8 years grace</t>
  </si>
  <si>
    <t>Non ODA owed</t>
  </si>
  <si>
    <t>Interest on non ODA</t>
  </si>
  <si>
    <t>China NPV calculation</t>
  </si>
  <si>
    <t>China loan 1</t>
  </si>
  <si>
    <t>Principal</t>
  </si>
  <si>
    <t>Principal outstanding</t>
  </si>
  <si>
    <t>China loan 2</t>
  </si>
  <si>
    <t>China loan 3</t>
  </si>
  <si>
    <t>China loan 4</t>
  </si>
  <si>
    <t>China loan 5</t>
  </si>
  <si>
    <t>Detail on Chinese loans from aiddata.org</t>
  </si>
  <si>
    <t>Cash flow on new bonds, upside</t>
  </si>
  <si>
    <t>Cash flow for original lenders</t>
  </si>
  <si>
    <t>USP68788AB70</t>
  </si>
  <si>
    <t>NPV of bond</t>
  </si>
  <si>
    <t>Bond 1 upside</t>
  </si>
  <si>
    <t>Profit baseline</t>
  </si>
  <si>
    <t>Profit upside</t>
  </si>
  <si>
    <t>USP68788AA97</t>
  </si>
  <si>
    <t>Bond 2 upside</t>
  </si>
  <si>
    <t>Cash flow for bond buyers</t>
  </si>
  <si>
    <t>NO ACCESS TO PRICE DATA</t>
  </si>
  <si>
    <t>Non bond private pre restructuring calculation</t>
  </si>
  <si>
    <t>Ukraine</t>
  </si>
  <si>
    <t>No info in IMF documents</t>
  </si>
  <si>
    <t>Bilateral restructuring not undertaken yet</t>
  </si>
  <si>
    <t>Total owed</t>
  </si>
  <si>
    <t>Bond</t>
  </si>
  <si>
    <t>EUR bond</t>
  </si>
  <si>
    <t>Ukravtodor 30</t>
  </si>
  <si>
    <t>Price April 2023</t>
  </si>
  <si>
    <t>Extra payments</t>
  </si>
  <si>
    <t xml:space="preserve">https://www.londonstockexchange.com/news-article/PYP2/ukraine-reaches-agreement-with-bondholders/16578910 </t>
  </si>
  <si>
    <t>Percentage owed</t>
  </si>
  <si>
    <t>Bilateral just based on suspension</t>
  </si>
  <si>
    <t>Zambia</t>
  </si>
  <si>
    <t>External debt service as % government revenue, base case</t>
  </si>
  <si>
    <t>External debt service as % government revenue, upside</t>
  </si>
  <si>
    <t>External debt service as % government revenue, upside - extra payments</t>
  </si>
  <si>
    <t xml:space="preserve">https://www.imf.org/en/Publications/CR/Issues/2024/06/26/Zambia-Third-Review-Under-the-Arrangement-Under-the-Extended-Credit-Facility-Requests-for-551111 </t>
  </si>
  <si>
    <t>Bond A</t>
  </si>
  <si>
    <t>Principal paid</t>
  </si>
  <si>
    <t>Bond B</t>
  </si>
  <si>
    <t>Total cash flow</t>
  </si>
  <si>
    <t>NPV / Nominal</t>
  </si>
  <si>
    <t>Enhanced Bond B</t>
  </si>
  <si>
    <t>Total cash flow Bonds A and B</t>
  </si>
  <si>
    <t>https://www.londonstockexchange.com/news-article/32BT/statement-re-restructuring-of-eurobonds/16393988</t>
  </si>
  <si>
    <t>Original nominal amount owed</t>
  </si>
  <si>
    <t>Original principal</t>
  </si>
  <si>
    <t>Cashflow</t>
  </si>
  <si>
    <t>https://www.reuters.com/world/africa/zambia-bilateral-creditors-agreed-debt-rework-memorandum-understanding-finance-2023-10-14/</t>
  </si>
  <si>
    <t>Higher payments</t>
  </si>
  <si>
    <t>XS0929779594</t>
  </si>
  <si>
    <t>2012 Sep</t>
  </si>
  <si>
    <t>Bond 1 upside post restructuring</t>
  </si>
  <si>
    <t>NPV of bond upside</t>
  </si>
  <si>
    <t>XS1056386714</t>
  </si>
  <si>
    <t>2014 Apr</t>
  </si>
  <si>
    <t>Bond 2 upside post restructuring</t>
  </si>
  <si>
    <t>XS1267081575</t>
  </si>
  <si>
    <t>2015 Jul</t>
  </si>
  <si>
    <t>Bond 3 upside post restructuring</t>
  </si>
  <si>
    <t>Total Zambia bonds</t>
  </si>
  <si>
    <t>Total profit baseline</t>
  </si>
  <si>
    <t>Total profit upside</t>
  </si>
  <si>
    <t>Price start Covid until restructuring</t>
  </si>
  <si>
    <t>Profit as percentage of amount lent paid for bonds</t>
  </si>
  <si>
    <t xml:space="preserve">From end-2022, from IDS, </t>
  </si>
  <si>
    <t>Bondholders</t>
  </si>
  <si>
    <t>Total principal</t>
  </si>
  <si>
    <t>Cashflow on bonds</t>
  </si>
  <si>
    <t>Central estimate profit, $ million</t>
  </si>
  <si>
    <t>Central estimate amount lent or paid for bonds, $ million</t>
  </si>
  <si>
    <t>Central estimate profit</t>
  </si>
  <si>
    <t>Lowest estimate profit</t>
  </si>
  <si>
    <t>Lowest estimate profit, $ million</t>
  </si>
  <si>
    <t>Lowest estimate amount lent or paid for bonds, $ million</t>
  </si>
  <si>
    <t>Highest estimate profit</t>
  </si>
  <si>
    <t>Highest estimate profit, $ million</t>
  </si>
  <si>
    <t>Highest estimate amount lent or paid for bonds, $ million</t>
  </si>
  <si>
    <t>HIghest estimate profit, %</t>
  </si>
  <si>
    <t>Lowest estimate profit, %</t>
  </si>
  <si>
    <t>Central estimate profit, %</t>
  </si>
  <si>
    <t>Amount paid for bonds</t>
  </si>
  <si>
    <t>External debt payments for lower income countries</t>
  </si>
  <si>
    <t>Algeria</t>
  </si>
  <si>
    <t>Angola</t>
  </si>
  <si>
    <t>Bangladesh</t>
  </si>
  <si>
    <t>Belize</t>
  </si>
  <si>
    <t>Benin</t>
  </si>
  <si>
    <t>Bhutan</t>
  </si>
  <si>
    <t>Bolivia</t>
  </si>
  <si>
    <t>Burkina Faso</t>
  </si>
  <si>
    <t>Burundi</t>
  </si>
  <si>
    <t>Cabo Verde</t>
  </si>
  <si>
    <t>Cambodia</t>
  </si>
  <si>
    <t>Cameroon</t>
  </si>
  <si>
    <t>Central African Republic</t>
  </si>
  <si>
    <t>Comoros</t>
  </si>
  <si>
    <t>Congo, Dem. Rep.</t>
  </si>
  <si>
    <t>Congo, Rep.</t>
  </si>
  <si>
    <t>Cote d'Ivoire</t>
  </si>
  <si>
    <t>Djibouti</t>
  </si>
  <si>
    <t>Dominica</t>
  </si>
  <si>
    <t>Dominican Republic</t>
  </si>
  <si>
    <t>Egypt, Arab Rep.</t>
  </si>
  <si>
    <t>Eritrea</t>
  </si>
  <si>
    <t>Eswatini</t>
  </si>
  <si>
    <t>Ethiopia</t>
  </si>
  <si>
    <t>Fiji</t>
  </si>
  <si>
    <t>Gambia, The</t>
  </si>
  <si>
    <t>Grenada</t>
  </si>
  <si>
    <t>Guinea</t>
  </si>
  <si>
    <t>Guinea-Bissau</t>
  </si>
  <si>
    <t>Guyana</t>
  </si>
  <si>
    <t>Haiti</t>
  </si>
  <si>
    <t>Honduras</t>
  </si>
  <si>
    <t>India</t>
  </si>
  <si>
    <t>Iran, Islamic Rep.</t>
  </si>
  <si>
    <t>Jamaica</t>
  </si>
  <si>
    <t>Jordan</t>
  </si>
  <si>
    <t>Kenya</t>
  </si>
  <si>
    <t>Kyrgyz Republic</t>
  </si>
  <si>
    <t>Lao PDR</t>
  </si>
  <si>
    <t>Lesotho</t>
  </si>
  <si>
    <t>Liberia</t>
  </si>
  <si>
    <t>Madagascar</t>
  </si>
  <si>
    <t>Malawi</t>
  </si>
  <si>
    <t>Maldives</t>
  </si>
  <si>
    <t>Mali</t>
  </si>
  <si>
    <t>Mauritania</t>
  </si>
  <si>
    <t>Mauritius</t>
  </si>
  <si>
    <t>Mongolia</t>
  </si>
  <si>
    <t>Morocco</t>
  </si>
  <si>
    <t>Mozambique</t>
  </si>
  <si>
    <t>Myanmar</t>
  </si>
  <si>
    <t>Nepal</t>
  </si>
  <si>
    <t>Nicaragua</t>
  </si>
  <si>
    <t>Niger</t>
  </si>
  <si>
    <t>Nigeria</t>
  </si>
  <si>
    <t>Pakistan</t>
  </si>
  <si>
    <t>Papua New Guinea</t>
  </si>
  <si>
    <t>Philippines</t>
  </si>
  <si>
    <t>Rwanda</t>
  </si>
  <si>
    <t>Samoa</t>
  </si>
  <si>
    <t>Sao Tome and Principe</t>
  </si>
  <si>
    <t>Senegal</t>
  </si>
  <si>
    <t>Sierra Leone</t>
  </si>
  <si>
    <t>Solomon Islands</t>
  </si>
  <si>
    <t>Somalia</t>
  </si>
  <si>
    <t>South Sudan</t>
  </si>
  <si>
    <t>St. Lucia</t>
  </si>
  <si>
    <t>St. Vincent and the Grenadines</t>
  </si>
  <si>
    <t>Sudan</t>
  </si>
  <si>
    <t>Tajikistan</t>
  </si>
  <si>
    <t>Tanzania</t>
  </si>
  <si>
    <t>Timor-Leste</t>
  </si>
  <si>
    <t>Togo</t>
  </si>
  <si>
    <t>Tonga</t>
  </si>
  <si>
    <t>Tunisia</t>
  </si>
  <si>
    <t>Uganda</t>
  </si>
  <si>
    <t>Uzbekistan</t>
  </si>
  <si>
    <t>Vanuatu</t>
  </si>
  <si>
    <t>Viet Nam</t>
  </si>
  <si>
    <t>Yemen, Rep.</t>
  </si>
  <si>
    <t>Zimbabwe</t>
  </si>
  <si>
    <t>Source: Calculated from World Bank International Debt Statistics database, or IMF country documents</t>
  </si>
  <si>
    <t>Average 2023-2024</t>
  </si>
  <si>
    <t>https://www.parliament.gov.zm/sites/default/files/images/publication_docs/Ministerial%20Statements%20-%20Debt%20Restructuring.pdf</t>
  </si>
  <si>
    <t>https://www.bloomberg.com/news/articles/2023-06-24/zambia-to-pay-1-interest-after-mission-impossible-debt-deal</t>
  </si>
  <si>
    <t>Billions of CFAF</t>
  </si>
  <si>
    <t>Inflation</t>
  </si>
  <si>
    <t>Expenditure</t>
  </si>
  <si>
    <t xml:space="preserve">Interest IMF report </t>
  </si>
  <si>
    <t>Public spending</t>
  </si>
  <si>
    <t>Deflator</t>
  </si>
  <si>
    <t>Index</t>
  </si>
  <si>
    <t>5. Change in real public spending per person</t>
  </si>
  <si>
    <t>Sources</t>
  </si>
  <si>
    <t>Public spending in 2020 prices</t>
  </si>
  <si>
    <t>Population, million</t>
  </si>
  <si>
    <t>Public spending in 2020 prices per person</t>
  </si>
  <si>
    <t>Summary of debt relief</t>
  </si>
  <si>
    <t>Total debt pre-restructuring, NPV</t>
  </si>
  <si>
    <t>Total debt post-restructuring, NPV</t>
  </si>
  <si>
    <t>Total debt post-restructuring if non-bond creditors match bondholders, NPV</t>
  </si>
  <si>
    <t>Total debt relief</t>
  </si>
  <si>
    <t>Total debt relief if non-bond private creditors included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</si>
</sst>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£&quot;#,##0.00;[Red]\-&quot;£&quot;#,##0.00"/>
    <numFmt numFmtId="164" formatCode="0.0"/>
    <numFmt numFmtId="165" formatCode="0.0%"/>
    <numFmt numFmtId="166" formatCode="#,##0.00_ ;[Red]\-#,##0.00\ "/>
    <numFmt numFmtId="167" formatCode="#,##0_ ;[Red]\-#,##0\ "/>
  </numFmts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9"/>
      <color rgb="FF333333"/>
      <name val="Arial"/>
      <family val="2"/>
    </font>
    <font>
      <sz val="9"/>
      <color rgb="FF595959"/>
      <name val="Arial"/>
      <family val="2"/>
    </font>
    <font>
      <sz val="10"/>
      <color rgb="FF111111"/>
      <name val="Arial"/>
      <family val="2"/>
    </font>
    <font>
      <sz val="11"/>
      <color rgb="FF000000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165" fontId="0" fillId="0" borderId="0" xfId="0" applyNumberFormat="1"/>
    <xf numFmtId="0" fontId="1" fillId="2" borderId="0" xfId="0" applyFont="1" applyFill="1"/>
    <xf numFmtId="0" fontId="0" fillId="2" borderId="0" xfId="0" applyFill="1"/>
    <xf numFmtId="164" fontId="0" fillId="2" borderId="0" xfId="0" applyNumberFormat="1" applyFill="1"/>
    <xf numFmtId="165" fontId="0" fillId="2" borderId="0" xfId="0" applyNumberFormat="1" applyFill="1"/>
    <xf numFmtId="0" fontId="1" fillId="3" borderId="0" xfId="0" applyFont="1" applyFill="1"/>
    <xf numFmtId="0" fontId="0" fillId="3" borderId="0" xfId="0" applyFill="1"/>
    <xf numFmtId="0" fontId="2" fillId="3" borderId="0" xfId="1" applyFill="1"/>
    <xf numFmtId="167" fontId="0" fillId="3" borderId="0" xfId="0" applyNumberFormat="1" applyFill="1"/>
    <xf numFmtId="2" fontId="0" fillId="3" borderId="0" xfId="0" applyNumberFormat="1" applyFill="1"/>
    <xf numFmtId="0" fontId="1" fillId="4" borderId="0" xfId="0" applyFont="1" applyFill="1"/>
    <xf numFmtId="0" fontId="0" fillId="4" borderId="0" xfId="0" applyFill="1"/>
    <xf numFmtId="166" fontId="0" fillId="4" borderId="0" xfId="0" applyNumberFormat="1" applyFill="1"/>
    <xf numFmtId="167" fontId="0" fillId="4" borderId="0" xfId="0" applyNumberFormat="1" applyFill="1"/>
    <xf numFmtId="9" fontId="0" fillId="4" borderId="0" xfId="0" applyNumberFormat="1" applyFill="1"/>
    <xf numFmtId="0" fontId="1" fillId="5" borderId="0" xfId="0" applyFont="1" applyFill="1"/>
    <xf numFmtId="0" fontId="0" fillId="5" borderId="0" xfId="0" applyFill="1"/>
    <xf numFmtId="167" fontId="0" fillId="5" borderId="0" xfId="0" applyNumberFormat="1" applyFill="1"/>
    <xf numFmtId="9" fontId="0" fillId="5" borderId="0" xfId="0" applyNumberFormat="1" applyFill="1"/>
    <xf numFmtId="1" fontId="0" fillId="5" borderId="0" xfId="0" applyNumberFormat="1" applyFill="1"/>
    <xf numFmtId="166" fontId="0" fillId="3" borderId="0" xfId="0" applyNumberFormat="1" applyFill="1"/>
    <xf numFmtId="0" fontId="3" fillId="4" borderId="0" xfId="0" applyFont="1" applyFill="1"/>
    <xf numFmtId="0" fontId="4" fillId="4" borderId="0" xfId="0" applyFont="1" applyFill="1"/>
    <xf numFmtId="0" fontId="5" fillId="4" borderId="0" xfId="0" applyFont="1" applyFill="1"/>
    <xf numFmtId="3" fontId="0" fillId="5" borderId="0" xfId="0" applyNumberFormat="1" applyFill="1"/>
    <xf numFmtId="1" fontId="0" fillId="4" borderId="0" xfId="0" applyNumberFormat="1" applyFill="1"/>
    <xf numFmtId="0" fontId="1" fillId="6" borderId="0" xfId="0" applyFont="1" applyFill="1"/>
    <xf numFmtId="0" fontId="0" fillId="6" borderId="0" xfId="0" applyFill="1"/>
    <xf numFmtId="164" fontId="0" fillId="6" borderId="0" xfId="0" applyNumberFormat="1" applyFill="1"/>
    <xf numFmtId="165" fontId="0" fillId="6" borderId="0" xfId="0" applyNumberFormat="1" applyFill="1"/>
    <xf numFmtId="3" fontId="0" fillId="3" borderId="0" xfId="0" applyNumberFormat="1" applyFill="1"/>
    <xf numFmtId="165" fontId="0" fillId="4" borderId="0" xfId="0" applyNumberFormat="1" applyFill="1"/>
    <xf numFmtId="0" fontId="3" fillId="5" borderId="0" xfId="0" applyFont="1" applyFill="1"/>
    <xf numFmtId="0" fontId="4" fillId="5" borderId="0" xfId="0" applyFont="1" applyFill="1"/>
    <xf numFmtId="0" fontId="5" fillId="5" borderId="0" xfId="0" applyFont="1" applyFill="1"/>
    <xf numFmtId="166" fontId="0" fillId="5" borderId="0" xfId="0" applyNumberFormat="1" applyFill="1"/>
    <xf numFmtId="10" fontId="0" fillId="5" borderId="0" xfId="0" applyNumberFormat="1" applyFill="1"/>
    <xf numFmtId="9" fontId="0" fillId="3" borderId="0" xfId="0" applyNumberFormat="1" applyFill="1"/>
    <xf numFmtId="0" fontId="2" fillId="2" borderId="0" xfId="1" applyFill="1"/>
    <xf numFmtId="10" fontId="0" fillId="3" borderId="0" xfId="0" applyNumberFormat="1" applyFill="1"/>
    <xf numFmtId="10" fontId="2" fillId="3" borderId="0" xfId="1" applyNumberFormat="1" applyFill="1"/>
    <xf numFmtId="8" fontId="0" fillId="3" borderId="0" xfId="0" applyNumberFormat="1" applyFill="1"/>
    <xf numFmtId="10" fontId="0" fillId="4" borderId="0" xfId="0" applyNumberFormat="1" applyFill="1"/>
    <xf numFmtId="0" fontId="2" fillId="4" borderId="0" xfId="1" applyFill="1"/>
    <xf numFmtId="1" fontId="0" fillId="6" borderId="0" xfId="0" applyNumberFormat="1" applyFill="1"/>
    <xf numFmtId="0" fontId="2" fillId="6" borderId="0" xfId="1" applyFill="1"/>
    <xf numFmtId="0" fontId="0" fillId="7" borderId="0" xfId="0" applyFill="1"/>
    <xf numFmtId="0" fontId="1" fillId="7" borderId="0" xfId="0" applyFont="1" applyFill="1"/>
    <xf numFmtId="0" fontId="6" fillId="7" borderId="0" xfId="0" applyFont="1" applyFill="1"/>
    <xf numFmtId="4" fontId="0" fillId="7" borderId="0" xfId="0" applyNumberForma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mf.org/en/Publications/CR/Issues/2023/01/12/Chad-First-and-Second-Reviews-Under-the-Extended-Credit-Facility-Arrangement-Requests-for-528092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mf.org/en/Publications/CR/Issues/2024/01/25/Ghana-2023-Article-IV-Consultation-First-Review-Under-the-Extended-Credit-Facility-544137" TargetMode="External"/><Relationship Id="rId1" Type="http://schemas.openxmlformats.org/officeDocument/2006/relationships/hyperlink" Target="https://www.prnewswire.com/news-releases/the-government-of-the-republic-of-ghana-and-representatives-of-bondholders-reach-an-agreement-in-principle-on-the-terms-of-the-eurobonds-restructuring-302179981.htm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mf.org/en/Publications/CR/Issues/2023/03/20/Sri-Lanka-Request-for-an-Extended-Arrangement-Under-the-Extended-Fund-Facility-Press-531191" TargetMode="External"/><Relationship Id="rId1" Type="http://schemas.openxmlformats.org/officeDocument/2006/relationships/hyperlink" Target="https://asia.nikkei.com/Spotlight/Sri-Lanka-crisis/Sri-Lanka-s-debt-repayments-to-be-suspended-until-2028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gov.sr/restructuring-of-bondholders-finalized/" TargetMode="External"/><Relationship Id="rId2" Type="http://schemas.openxmlformats.org/officeDocument/2006/relationships/hyperlink" Target="https://gov.sr/restructuring-of-bondholders-finalized/" TargetMode="External"/><Relationship Id="rId1" Type="http://schemas.openxmlformats.org/officeDocument/2006/relationships/hyperlink" Target="https://www.imf.org/en/Publications/CR/Issues/2024/07/30/Suriname-Sixth-Review-Under-the-Extended-Arrangement-Under-the-Extended-Fund-Facility-Press-552783" TargetMode="External"/><Relationship Id="rId4" Type="http://schemas.openxmlformats.org/officeDocument/2006/relationships/hyperlink" Target="https://clubdeparis.org/en/communications/press-release/the-paris-club-provides-a-debt-treatment-to-the-republic-of-suriname-24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londonstockexchange.com/news-article/PYP2/ukraine-reaches-agreement-with-bondholders/16578910" TargetMode="External"/><Relationship Id="rId1" Type="http://schemas.openxmlformats.org/officeDocument/2006/relationships/hyperlink" Target="https://www.londonstockexchange.com/news-article/PYP2/ukraine-reaches-agreement-with-bondholders/16578910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reuters.com/world/africa/zambia-bilateral-creditors-agreed-debt-rework-memorandum-understanding-finance-2023-10-14/" TargetMode="External"/><Relationship Id="rId2" Type="http://schemas.openxmlformats.org/officeDocument/2006/relationships/hyperlink" Target="https://www.imf.org/en/Publications/CR/Issues/2024/06/26/Zambia-Third-Review-Under-the-Arrangement-Under-the-Extended-Credit-Facility-Requests-for-551111" TargetMode="External"/><Relationship Id="rId1" Type="http://schemas.openxmlformats.org/officeDocument/2006/relationships/hyperlink" Target="https://www.imf.org/en/Publications/CR/Issues/2024/06/26/Zambia-Third-Review-Under-the-Arrangement-Under-the-Extended-Credit-Facility-Requests-for-5511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BCEBB-83D2-4708-916A-03604B0C6691}">
  <dimension ref="A1:AA77"/>
  <sheetViews>
    <sheetView topLeftCell="A37" workbookViewId="0">
      <selection activeCell="B43" sqref="B43"/>
    </sheetView>
  </sheetViews>
  <sheetFormatPr defaultRowHeight="15" x14ac:dyDescent="0.25"/>
  <sheetData>
    <row r="1" spans="1:19" x14ac:dyDescent="0.25">
      <c r="A1" s="1" t="s">
        <v>0</v>
      </c>
    </row>
    <row r="2" spans="1:19" x14ac:dyDescent="0.25">
      <c r="A2" s="1"/>
    </row>
    <row r="3" spans="1:19" s="4" customFormat="1" x14ac:dyDescent="0.25">
      <c r="A3" s="3" t="s">
        <v>30</v>
      </c>
    </row>
    <row r="4" spans="1:19" s="4" customFormat="1" x14ac:dyDescent="0.25">
      <c r="B4" s="4">
        <v>2021</v>
      </c>
      <c r="C4" s="4">
        <f>B4+1</f>
        <v>2022</v>
      </c>
      <c r="D4" s="4">
        <f>C4+1</f>
        <v>2023</v>
      </c>
      <c r="E4" s="4" t="s">
        <v>2</v>
      </c>
      <c r="F4" s="4" t="s">
        <v>3</v>
      </c>
    </row>
    <row r="5" spans="1:19" s="4" customFormat="1" x14ac:dyDescent="0.25">
      <c r="A5" s="4" t="s">
        <v>1</v>
      </c>
      <c r="B5" s="4">
        <v>16.8</v>
      </c>
      <c r="C5" s="4">
        <v>19.5</v>
      </c>
      <c r="D5" s="4">
        <v>18.399999999999999</v>
      </c>
      <c r="E5" s="5">
        <f>AVERAGE(B5:D5)</f>
        <v>18.233333333333331</v>
      </c>
      <c r="F5" s="4" t="s">
        <v>4</v>
      </c>
    </row>
    <row r="6" spans="1:19" s="4" customFormat="1" x14ac:dyDescent="0.25"/>
    <row r="7" spans="1:19" s="4" customFormat="1" x14ac:dyDescent="0.25">
      <c r="B7" s="4">
        <v>2022</v>
      </c>
      <c r="C7" s="4">
        <v>2023</v>
      </c>
      <c r="D7" s="4" t="s">
        <v>2</v>
      </c>
      <c r="E7" s="4" t="s">
        <v>3</v>
      </c>
    </row>
    <row r="8" spans="1:19" s="4" customFormat="1" x14ac:dyDescent="0.25">
      <c r="A8" s="4" t="s">
        <v>5</v>
      </c>
      <c r="B8" s="4">
        <v>19.5</v>
      </c>
      <c r="C8" s="4">
        <v>18.399999999999999</v>
      </c>
    </row>
    <row r="9" spans="1:19" s="4" customFormat="1" x14ac:dyDescent="0.25">
      <c r="A9" s="4" t="s">
        <v>6</v>
      </c>
      <c r="B9" s="4">
        <v>15.5</v>
      </c>
      <c r="C9" s="4">
        <v>12.9</v>
      </c>
    </row>
    <row r="10" spans="1:19" s="4" customFormat="1" x14ac:dyDescent="0.25">
      <c r="A10" s="4" t="s">
        <v>7</v>
      </c>
      <c r="B10" s="6">
        <f>B9/B8</f>
        <v>0.79487179487179482</v>
      </c>
      <c r="C10" s="6">
        <f>C9/C8</f>
        <v>0.70108695652173925</v>
      </c>
      <c r="D10" s="6">
        <f>(B10+C10)/2</f>
        <v>0.74797937569676698</v>
      </c>
      <c r="E10" s="4" t="s">
        <v>4</v>
      </c>
    </row>
    <row r="12" spans="1:19" s="8" customFormat="1" x14ac:dyDescent="0.25">
      <c r="A12" s="7" t="s">
        <v>31</v>
      </c>
    </row>
    <row r="13" spans="1:19" s="8" customFormat="1" x14ac:dyDescent="0.25"/>
    <row r="14" spans="1:19" s="8" customFormat="1" x14ac:dyDescent="0.25">
      <c r="A14" s="7" t="s">
        <v>23</v>
      </c>
    </row>
    <row r="15" spans="1:19" s="8" customFormat="1" x14ac:dyDescent="0.25">
      <c r="C15" s="8">
        <v>2021</v>
      </c>
      <c r="D15" s="8">
        <v>2022</v>
      </c>
      <c r="E15" s="8">
        <v>2023</v>
      </c>
      <c r="F15" s="8">
        <v>2024</v>
      </c>
      <c r="G15" s="8">
        <v>2025</v>
      </c>
      <c r="H15" s="8">
        <v>2026</v>
      </c>
      <c r="I15" s="8">
        <v>2027</v>
      </c>
      <c r="J15" s="8">
        <v>2028</v>
      </c>
      <c r="K15" s="8">
        <v>2029</v>
      </c>
      <c r="L15" s="8">
        <v>2030</v>
      </c>
      <c r="M15" s="8">
        <v>2031</v>
      </c>
      <c r="N15" s="8" t="s">
        <v>3</v>
      </c>
    </row>
    <row r="16" spans="1:19" s="8" customFormat="1" x14ac:dyDescent="0.25">
      <c r="A16" s="8" t="s">
        <v>24</v>
      </c>
      <c r="C16" s="8">
        <v>208</v>
      </c>
      <c r="D16" s="8">
        <v>414</v>
      </c>
      <c r="E16" s="8">
        <v>361</v>
      </c>
      <c r="F16" s="8">
        <v>177.00400000000002</v>
      </c>
      <c r="G16" s="8">
        <v>72.789999999999992</v>
      </c>
      <c r="H16" s="8">
        <v>0</v>
      </c>
      <c r="I16" s="8">
        <v>56.847000000000001</v>
      </c>
      <c r="J16" s="8">
        <v>51.84</v>
      </c>
      <c r="K16" s="8">
        <v>55.152000000000008</v>
      </c>
      <c r="L16" s="8">
        <v>22.826999999999998</v>
      </c>
      <c r="M16" s="8">
        <v>75</v>
      </c>
      <c r="N16" s="8" t="s">
        <v>25</v>
      </c>
      <c r="O16" s="8" t="s">
        <v>11</v>
      </c>
      <c r="S16" s="9" t="s">
        <v>4</v>
      </c>
    </row>
    <row r="17" spans="1:19" s="8" customFormat="1" x14ac:dyDescent="0.25">
      <c r="A17" s="8" t="s">
        <v>10</v>
      </c>
      <c r="B17" s="8">
        <v>1106</v>
      </c>
      <c r="N17" s="8" t="s">
        <v>11</v>
      </c>
    </row>
    <row r="18" spans="1:19" s="8" customFormat="1" x14ac:dyDescent="0.25">
      <c r="S18" s="8" t="s">
        <v>12</v>
      </c>
    </row>
    <row r="19" spans="1:19" s="8" customFormat="1" x14ac:dyDescent="0.25">
      <c r="A19" s="8" t="s">
        <v>13</v>
      </c>
      <c r="C19" s="8">
        <f>C16</f>
        <v>208</v>
      </c>
      <c r="D19" s="8">
        <f t="shared" ref="D19:M19" si="0">D16</f>
        <v>414</v>
      </c>
      <c r="E19" s="8">
        <f t="shared" si="0"/>
        <v>361</v>
      </c>
      <c r="F19" s="8">
        <f t="shared" si="0"/>
        <v>177.00400000000002</v>
      </c>
      <c r="G19" s="8">
        <f t="shared" si="0"/>
        <v>72.789999999999992</v>
      </c>
      <c r="H19" s="8">
        <f t="shared" si="0"/>
        <v>0</v>
      </c>
      <c r="I19" s="8">
        <f t="shared" si="0"/>
        <v>56.847000000000001</v>
      </c>
      <c r="J19" s="8">
        <f t="shared" si="0"/>
        <v>51.84</v>
      </c>
      <c r="K19" s="8">
        <f t="shared" si="0"/>
        <v>55.152000000000008</v>
      </c>
      <c r="L19" s="8">
        <f t="shared" si="0"/>
        <v>22.826999999999998</v>
      </c>
      <c r="M19" s="8">
        <f t="shared" si="0"/>
        <v>75</v>
      </c>
    </row>
    <row r="20" spans="1:19" s="8" customFormat="1" x14ac:dyDescent="0.25"/>
    <row r="21" spans="1:19" s="8" customFormat="1" x14ac:dyDescent="0.25">
      <c r="A21" s="8" t="s">
        <v>14</v>
      </c>
      <c r="B21" s="8">
        <v>0.05</v>
      </c>
    </row>
    <row r="22" spans="1:19" s="8" customFormat="1" x14ac:dyDescent="0.25"/>
    <row r="23" spans="1:19" s="8" customFormat="1" x14ac:dyDescent="0.25">
      <c r="A23" s="8" t="s">
        <v>15</v>
      </c>
      <c r="B23" s="10">
        <f>NPV(B21,C19:M19)</f>
        <v>1257.0089833208106</v>
      </c>
    </row>
    <row r="24" spans="1:19" s="8" customFormat="1" x14ac:dyDescent="0.25"/>
    <row r="25" spans="1:19" s="8" customFormat="1" x14ac:dyDescent="0.25">
      <c r="A25" s="8" t="s">
        <v>16</v>
      </c>
      <c r="B25" s="11">
        <f>B23/B17</f>
        <v>1.1365361512846388</v>
      </c>
    </row>
    <row r="26" spans="1:19" s="8" customFormat="1" x14ac:dyDescent="0.25"/>
    <row r="27" spans="1:19" s="8" customFormat="1" x14ac:dyDescent="0.25">
      <c r="A27" s="7" t="s">
        <v>17</v>
      </c>
    </row>
    <row r="28" spans="1:19" s="8" customFormat="1" x14ac:dyDescent="0.25">
      <c r="A28" s="8" t="s">
        <v>8</v>
      </c>
      <c r="C28" s="8">
        <v>2021</v>
      </c>
      <c r="D28" s="8">
        <v>2022</v>
      </c>
      <c r="E28" s="8">
        <v>2023</v>
      </c>
      <c r="F28" s="8">
        <v>2024</v>
      </c>
      <c r="G28" s="8">
        <v>2025</v>
      </c>
      <c r="H28" s="8">
        <v>2026</v>
      </c>
      <c r="I28" s="8">
        <v>2027</v>
      </c>
      <c r="J28" s="8">
        <v>2028</v>
      </c>
      <c r="K28" s="8">
        <v>2029</v>
      </c>
      <c r="L28" s="8">
        <v>2030</v>
      </c>
      <c r="M28" s="8">
        <v>2031</v>
      </c>
      <c r="N28" s="8">
        <v>2032</v>
      </c>
      <c r="O28" s="8">
        <v>2033</v>
      </c>
      <c r="P28" s="8">
        <v>2034</v>
      </c>
      <c r="Q28" s="8">
        <v>2035</v>
      </c>
      <c r="R28" s="8" t="s">
        <v>3</v>
      </c>
    </row>
    <row r="29" spans="1:19" s="8" customFormat="1" x14ac:dyDescent="0.25">
      <c r="A29" s="8" t="s">
        <v>26</v>
      </c>
      <c r="B29" s="8" t="s">
        <v>9</v>
      </c>
      <c r="C29" s="8">
        <v>37</v>
      </c>
      <c r="D29" s="8">
        <v>49</v>
      </c>
      <c r="E29" s="8">
        <v>73</v>
      </c>
      <c r="F29" s="8">
        <v>78.09</v>
      </c>
      <c r="G29" s="8">
        <v>80.320000000000007</v>
      </c>
      <c r="H29" s="8">
        <v>80.300999999999988</v>
      </c>
      <c r="I29" s="8">
        <v>67.674999999999997</v>
      </c>
      <c r="J29" s="8">
        <v>57.6</v>
      </c>
      <c r="K29" s="8">
        <v>49.024000000000001</v>
      </c>
      <c r="L29" s="8">
        <v>52.176000000000002</v>
      </c>
      <c r="R29" s="8" t="s">
        <v>28</v>
      </c>
      <c r="S29" s="8" t="s">
        <v>4</v>
      </c>
    </row>
    <row r="30" spans="1:19" s="8" customFormat="1" x14ac:dyDescent="0.25">
      <c r="A30" s="8" t="s">
        <v>10</v>
      </c>
      <c r="B30" s="8">
        <v>837</v>
      </c>
      <c r="S30" s="8" t="s">
        <v>11</v>
      </c>
    </row>
    <row r="31" spans="1:19" s="8" customFormat="1" x14ac:dyDescent="0.25">
      <c r="A31" s="8" t="s">
        <v>18</v>
      </c>
      <c r="L31" s="8">
        <v>217</v>
      </c>
      <c r="M31" s="8">
        <f>L31-M32</f>
        <v>167</v>
      </c>
      <c r="N31" s="8">
        <f t="shared" ref="N31:P31" si="1">M31-N32</f>
        <v>117</v>
      </c>
      <c r="O31" s="8">
        <f t="shared" si="1"/>
        <v>67</v>
      </c>
      <c r="P31" s="8">
        <f t="shared" si="1"/>
        <v>17</v>
      </c>
      <c r="Q31" s="8">
        <f>P31-Q32</f>
        <v>0</v>
      </c>
      <c r="S31" s="8" t="s">
        <v>19</v>
      </c>
    </row>
    <row r="32" spans="1:19" s="8" customFormat="1" x14ac:dyDescent="0.25">
      <c r="A32" s="8" t="s">
        <v>29</v>
      </c>
      <c r="M32" s="8">
        <v>50</v>
      </c>
      <c r="N32" s="8">
        <v>50</v>
      </c>
      <c r="O32" s="8">
        <v>50</v>
      </c>
      <c r="P32" s="8">
        <v>50</v>
      </c>
      <c r="Q32" s="8">
        <f>P31</f>
        <v>17</v>
      </c>
    </row>
    <row r="33" spans="1:27" s="8" customFormat="1" x14ac:dyDescent="0.25">
      <c r="A33" s="8" t="s">
        <v>20</v>
      </c>
      <c r="B33" s="8">
        <v>1.3</v>
      </c>
      <c r="S33" s="8" t="s">
        <v>27</v>
      </c>
    </row>
    <row r="34" spans="1:27" s="8" customFormat="1" x14ac:dyDescent="0.25">
      <c r="A34" s="8" t="s">
        <v>21</v>
      </c>
      <c r="M34" s="8">
        <f>L31*0.013</f>
        <v>2.8209999999999997</v>
      </c>
      <c r="N34" s="8">
        <f t="shared" ref="N34:Q34" si="2">M31*0.013</f>
        <v>2.1709999999999998</v>
      </c>
      <c r="O34" s="8">
        <f t="shared" si="2"/>
        <v>1.5209999999999999</v>
      </c>
      <c r="P34" s="8">
        <f t="shared" si="2"/>
        <v>0.871</v>
      </c>
      <c r="Q34" s="8">
        <f t="shared" si="2"/>
        <v>0.221</v>
      </c>
    </row>
    <row r="35" spans="1:27" s="8" customFormat="1" x14ac:dyDescent="0.25"/>
    <row r="36" spans="1:27" s="8" customFormat="1" x14ac:dyDescent="0.25">
      <c r="S36" s="8" t="s">
        <v>22</v>
      </c>
    </row>
    <row r="37" spans="1:27" s="8" customFormat="1" x14ac:dyDescent="0.25">
      <c r="A37" s="8" t="s">
        <v>13</v>
      </c>
      <c r="C37" s="8">
        <f>C29</f>
        <v>37</v>
      </c>
      <c r="D37" s="8">
        <f t="shared" ref="D37:L37" si="3">D29</f>
        <v>49</v>
      </c>
      <c r="E37" s="8">
        <f t="shared" si="3"/>
        <v>73</v>
      </c>
      <c r="F37" s="8">
        <f t="shared" si="3"/>
        <v>78.09</v>
      </c>
      <c r="G37" s="8">
        <f t="shared" si="3"/>
        <v>80.320000000000007</v>
      </c>
      <c r="H37" s="8">
        <f t="shared" si="3"/>
        <v>80.300999999999988</v>
      </c>
      <c r="I37" s="8">
        <f t="shared" si="3"/>
        <v>67.674999999999997</v>
      </c>
      <c r="J37" s="8">
        <f t="shared" si="3"/>
        <v>57.6</v>
      </c>
      <c r="K37" s="8">
        <f t="shared" si="3"/>
        <v>49.024000000000001</v>
      </c>
      <c r="L37" s="8">
        <f t="shared" si="3"/>
        <v>52.176000000000002</v>
      </c>
      <c r="M37" s="8">
        <f>M32+M34</f>
        <v>52.820999999999998</v>
      </c>
      <c r="N37" s="8">
        <f t="shared" ref="N37:Q37" si="4">N32+N34</f>
        <v>52.170999999999999</v>
      </c>
      <c r="O37" s="8">
        <f t="shared" si="4"/>
        <v>51.521000000000001</v>
      </c>
      <c r="P37" s="8">
        <f t="shared" si="4"/>
        <v>50.871000000000002</v>
      </c>
      <c r="Q37" s="8">
        <f t="shared" si="4"/>
        <v>17.221</v>
      </c>
    </row>
    <row r="38" spans="1:27" s="8" customFormat="1" x14ac:dyDescent="0.25"/>
    <row r="39" spans="1:27" s="8" customFormat="1" x14ac:dyDescent="0.25">
      <c r="A39" s="8" t="s">
        <v>14</v>
      </c>
      <c r="B39" s="8">
        <v>0.05</v>
      </c>
    </row>
    <row r="40" spans="1:27" s="8" customFormat="1" x14ac:dyDescent="0.25"/>
    <row r="41" spans="1:27" s="8" customFormat="1" x14ac:dyDescent="0.25">
      <c r="A41" s="8" t="s">
        <v>15</v>
      </c>
      <c r="B41" s="10">
        <f>NPV(B39,C37:Q37)</f>
        <v>601.7900398449442</v>
      </c>
    </row>
    <row r="42" spans="1:27" s="8" customFormat="1" x14ac:dyDescent="0.25"/>
    <row r="43" spans="1:27" s="8" customFormat="1" x14ac:dyDescent="0.25">
      <c r="A43" s="8" t="s">
        <v>16</v>
      </c>
      <c r="B43" s="11">
        <v>0.71848848696005452</v>
      </c>
    </row>
    <row r="45" spans="1:27" s="13" customFormat="1" x14ac:dyDescent="0.25">
      <c r="A45" s="12" t="s">
        <v>32</v>
      </c>
    </row>
    <row r="46" spans="1:27" s="13" customFormat="1" x14ac:dyDescent="0.25"/>
    <row r="47" spans="1:27" s="13" customFormat="1" x14ac:dyDescent="0.25">
      <c r="B47" s="13" t="s">
        <v>3</v>
      </c>
      <c r="J47" s="13">
        <v>2014</v>
      </c>
      <c r="K47" s="13">
        <f>J47+1</f>
        <v>2015</v>
      </c>
      <c r="L47" s="13">
        <f t="shared" ref="L47:AA47" si="5">K47+1</f>
        <v>2016</v>
      </c>
      <c r="M47" s="13">
        <f t="shared" si="5"/>
        <v>2017</v>
      </c>
      <c r="N47" s="13">
        <f t="shared" si="5"/>
        <v>2018</v>
      </c>
      <c r="O47" s="13">
        <f t="shared" si="5"/>
        <v>2019</v>
      </c>
      <c r="P47" s="13">
        <f t="shared" si="5"/>
        <v>2020</v>
      </c>
      <c r="Q47" s="13">
        <f t="shared" si="5"/>
        <v>2021</v>
      </c>
      <c r="R47" s="13">
        <f t="shared" si="5"/>
        <v>2022</v>
      </c>
      <c r="S47" s="13">
        <f t="shared" si="5"/>
        <v>2023</v>
      </c>
      <c r="T47" s="13">
        <f t="shared" si="5"/>
        <v>2024</v>
      </c>
      <c r="U47" s="13">
        <f t="shared" si="5"/>
        <v>2025</v>
      </c>
      <c r="V47" s="13">
        <f t="shared" si="5"/>
        <v>2026</v>
      </c>
      <c r="W47" s="13">
        <f t="shared" si="5"/>
        <v>2027</v>
      </c>
      <c r="X47" s="13">
        <f t="shared" si="5"/>
        <v>2028</v>
      </c>
      <c r="Y47" s="13">
        <f t="shared" si="5"/>
        <v>2029</v>
      </c>
      <c r="Z47" s="13">
        <f t="shared" si="5"/>
        <v>2030</v>
      </c>
      <c r="AA47" s="13">
        <f t="shared" si="5"/>
        <v>2031</v>
      </c>
    </row>
    <row r="48" spans="1:27" s="13" customFormat="1" x14ac:dyDescent="0.25">
      <c r="A48" s="12" t="s">
        <v>33</v>
      </c>
      <c r="B48" s="13" t="s">
        <v>42</v>
      </c>
      <c r="C48" s="13" t="s">
        <v>34</v>
      </c>
      <c r="J48" s="13">
        <v>25.341000000000001</v>
      </c>
      <c r="K48" s="13">
        <v>46.542999999999999</v>
      </c>
      <c r="L48" s="13">
        <v>125.54300000000001</v>
      </c>
      <c r="M48" s="13">
        <v>143.54300000000001</v>
      </c>
      <c r="N48" s="13">
        <v>119.54300000000001</v>
      </c>
      <c r="O48" s="13">
        <v>97.778000000000006</v>
      </c>
      <c r="P48" s="13">
        <v>112.396</v>
      </c>
      <c r="Q48" s="13">
        <v>208</v>
      </c>
      <c r="R48" s="13">
        <v>414</v>
      </c>
      <c r="S48" s="13">
        <v>361</v>
      </c>
      <c r="T48" s="13">
        <v>177.00400000000002</v>
      </c>
      <c r="U48" s="13">
        <v>72.789999999999992</v>
      </c>
      <c r="V48" s="13">
        <v>0</v>
      </c>
      <c r="W48" s="13">
        <v>56.847000000000001</v>
      </c>
      <c r="X48" s="13">
        <v>51.84</v>
      </c>
      <c r="Y48" s="13">
        <v>55.152000000000008</v>
      </c>
      <c r="Z48" s="13">
        <v>22.826999999999998</v>
      </c>
      <c r="AA48" s="13">
        <v>75</v>
      </c>
    </row>
    <row r="49" spans="1:9" s="13" customFormat="1" x14ac:dyDescent="0.25"/>
    <row r="50" spans="1:9" s="13" customFormat="1" x14ac:dyDescent="0.25">
      <c r="C50" s="13" t="s">
        <v>35</v>
      </c>
      <c r="D50" s="13" t="s">
        <v>3</v>
      </c>
      <c r="E50" s="13" t="s">
        <v>36</v>
      </c>
      <c r="G50" s="13" t="s">
        <v>14</v>
      </c>
    </row>
    <row r="51" spans="1:9" s="13" customFormat="1" x14ac:dyDescent="0.25">
      <c r="A51" s="13" t="s">
        <v>37</v>
      </c>
      <c r="C51" s="13">
        <v>1539</v>
      </c>
      <c r="D51" s="13" t="s">
        <v>45</v>
      </c>
      <c r="E51" s="13" t="s">
        <v>38</v>
      </c>
      <c r="G51" s="13">
        <v>0.03</v>
      </c>
      <c r="H51" s="13" t="s">
        <v>43</v>
      </c>
      <c r="I51" s="13" t="s">
        <v>44</v>
      </c>
    </row>
    <row r="52" spans="1:9" s="13" customFormat="1" x14ac:dyDescent="0.25">
      <c r="A52" s="13" t="s">
        <v>39</v>
      </c>
      <c r="B52" s="14">
        <f>NPV(G51,J48:AA48)</f>
        <v>1679.4218353503209</v>
      </c>
    </row>
    <row r="53" spans="1:9" s="13" customFormat="1" x14ac:dyDescent="0.25">
      <c r="C53" s="13" t="s">
        <v>40</v>
      </c>
    </row>
    <row r="54" spans="1:9" s="13" customFormat="1" x14ac:dyDescent="0.25">
      <c r="A54" s="13" t="s">
        <v>41</v>
      </c>
      <c r="B54" s="15">
        <f>B52-C51</f>
        <v>140.42183535032086</v>
      </c>
      <c r="C54" s="16">
        <f>B54/C51</f>
        <v>9.1242258187342995E-2</v>
      </c>
    </row>
    <row r="56" spans="1:9" s="18" customFormat="1" x14ac:dyDescent="0.25">
      <c r="A56" s="17" t="s">
        <v>46</v>
      </c>
    </row>
    <row r="57" spans="1:9" s="18" customFormat="1" x14ac:dyDescent="0.25"/>
    <row r="58" spans="1:9" s="18" customFormat="1" x14ac:dyDescent="0.25">
      <c r="C58" s="18" t="s">
        <v>50</v>
      </c>
    </row>
    <row r="59" spans="1:9" s="18" customFormat="1" x14ac:dyDescent="0.25">
      <c r="A59" s="18" t="s">
        <v>49</v>
      </c>
      <c r="B59" s="18">
        <v>2352</v>
      </c>
      <c r="C59" s="18" t="s">
        <v>51</v>
      </c>
    </row>
    <row r="60" spans="1:9" s="18" customFormat="1" x14ac:dyDescent="0.25"/>
    <row r="61" spans="1:9" s="18" customFormat="1" x14ac:dyDescent="0.25">
      <c r="A61" s="18" t="s">
        <v>47</v>
      </c>
      <c r="C61" s="18" t="s">
        <v>52</v>
      </c>
    </row>
    <row r="62" spans="1:9" s="18" customFormat="1" x14ac:dyDescent="0.25">
      <c r="A62" s="18" t="s">
        <v>23</v>
      </c>
      <c r="B62" s="19">
        <f>B23</f>
        <v>1257.0089833208106</v>
      </c>
      <c r="C62" s="20">
        <f>B62/B59</f>
        <v>0.53444259494932422</v>
      </c>
    </row>
    <row r="63" spans="1:9" s="18" customFormat="1" x14ac:dyDescent="0.25">
      <c r="A63" s="18" t="s">
        <v>17</v>
      </c>
      <c r="B63" s="19">
        <f>B41</f>
        <v>601.7900398449442</v>
      </c>
      <c r="C63" s="20">
        <f>B63/B59</f>
        <v>0.2558631121789729</v>
      </c>
    </row>
    <row r="64" spans="1:9" s="18" customFormat="1" x14ac:dyDescent="0.25">
      <c r="A64" s="18" t="s">
        <v>48</v>
      </c>
      <c r="B64" s="21">
        <f>B59-B62-B63</f>
        <v>493.20097683424524</v>
      </c>
      <c r="C64" s="20">
        <f>B64/B59</f>
        <v>0.20969429287170291</v>
      </c>
    </row>
    <row r="66" spans="1:16" s="48" customFormat="1" x14ac:dyDescent="0.25">
      <c r="A66" s="49" t="s">
        <v>421</v>
      </c>
      <c r="C66" s="48" t="s">
        <v>422</v>
      </c>
    </row>
    <row r="67" spans="1:16" s="48" customFormat="1" x14ac:dyDescent="0.25">
      <c r="A67" s="49"/>
      <c r="B67" s="48" t="s">
        <v>414</v>
      </c>
      <c r="C67" s="48" t="s">
        <v>4</v>
      </c>
      <c r="D67" s="48" t="s">
        <v>11</v>
      </c>
    </row>
    <row r="68" spans="1:16" s="48" customFormat="1" x14ac:dyDescent="0.25">
      <c r="A68" s="49"/>
      <c r="B68" s="48">
        <v>2020</v>
      </c>
      <c r="C68" s="48">
        <f t="shared" ref="C68" si="6">B68+1</f>
        <v>2021</v>
      </c>
      <c r="D68" s="48">
        <f t="shared" ref="D68" si="7">C68+1</f>
        <v>2022</v>
      </c>
      <c r="E68" s="48">
        <f>D68+1</f>
        <v>2023</v>
      </c>
      <c r="F68" s="48">
        <f t="shared" ref="F68" si="8">E68+1</f>
        <v>2024</v>
      </c>
      <c r="G68" s="48">
        <f t="shared" ref="G68" si="9">F68+1</f>
        <v>2025</v>
      </c>
      <c r="H68" s="48">
        <f t="shared" ref="H68" si="10">G68+1</f>
        <v>2026</v>
      </c>
    </row>
    <row r="69" spans="1:16" s="48" customFormat="1" x14ac:dyDescent="0.25">
      <c r="A69" s="48" t="s">
        <v>415</v>
      </c>
      <c r="B69" s="48">
        <v>5.32</v>
      </c>
      <c r="C69" s="48">
        <v>-1.6240000000000001</v>
      </c>
      <c r="D69" s="48">
        <v>6.8849999999999998</v>
      </c>
      <c r="E69" s="48">
        <v>2.6819999999999999</v>
      </c>
      <c r="F69" s="48">
        <v>3.0870000000000002</v>
      </c>
      <c r="G69" s="48">
        <v>3.0870000000000002</v>
      </c>
      <c r="H69" s="48">
        <v>3.0870000000000002</v>
      </c>
    </row>
    <row r="70" spans="1:16" s="48" customFormat="1" x14ac:dyDescent="0.25">
      <c r="A70" s="50" t="s">
        <v>416</v>
      </c>
      <c r="B70" s="51">
        <v>1177</v>
      </c>
      <c r="C70" s="51">
        <v>1205</v>
      </c>
      <c r="D70" s="51">
        <v>1226</v>
      </c>
      <c r="E70" s="51">
        <v>1354</v>
      </c>
      <c r="F70" s="51">
        <v>1340</v>
      </c>
      <c r="G70" s="51">
        <v>1412</v>
      </c>
      <c r="H70" s="51">
        <v>1386</v>
      </c>
      <c r="I70" s="51"/>
      <c r="J70" s="51"/>
      <c r="K70" s="51"/>
      <c r="L70" s="51"/>
      <c r="M70" s="51"/>
      <c r="N70" s="51"/>
      <c r="O70" s="51"/>
      <c r="P70" s="51"/>
    </row>
    <row r="71" spans="1:16" s="48" customFormat="1" x14ac:dyDescent="0.25">
      <c r="A71" s="50" t="s">
        <v>417</v>
      </c>
      <c r="B71" s="48">
        <v>60</v>
      </c>
      <c r="C71" s="48">
        <v>77</v>
      </c>
      <c r="D71" s="48">
        <v>111</v>
      </c>
      <c r="E71" s="48">
        <v>99</v>
      </c>
      <c r="F71" s="48">
        <v>77</v>
      </c>
      <c r="G71" s="48">
        <v>108</v>
      </c>
      <c r="H71" s="48">
        <v>62</v>
      </c>
    </row>
    <row r="72" spans="1:16" s="48" customFormat="1" x14ac:dyDescent="0.25">
      <c r="A72" s="50" t="s">
        <v>418</v>
      </c>
      <c r="B72" s="51">
        <f t="shared" ref="B72:H72" si="11">B70-B71</f>
        <v>1117</v>
      </c>
      <c r="C72" s="51">
        <f t="shared" si="11"/>
        <v>1128</v>
      </c>
      <c r="D72" s="51">
        <f t="shared" si="11"/>
        <v>1115</v>
      </c>
      <c r="E72" s="51">
        <f t="shared" si="11"/>
        <v>1255</v>
      </c>
      <c r="F72" s="51">
        <f t="shared" si="11"/>
        <v>1263</v>
      </c>
      <c r="G72" s="51">
        <f t="shared" si="11"/>
        <v>1304</v>
      </c>
      <c r="H72" s="51">
        <f t="shared" si="11"/>
        <v>1324</v>
      </c>
      <c r="I72" s="51"/>
      <c r="J72" s="51"/>
      <c r="K72" s="51"/>
      <c r="L72" s="51"/>
      <c r="M72" s="51"/>
      <c r="N72" s="51"/>
      <c r="O72" s="51"/>
      <c r="P72" s="51"/>
    </row>
    <row r="73" spans="1:16" s="48" customFormat="1" x14ac:dyDescent="0.25">
      <c r="A73" s="48" t="s">
        <v>419</v>
      </c>
      <c r="B73" s="48">
        <v>1</v>
      </c>
      <c r="C73" s="48">
        <f t="shared" ref="C73" si="12">B73*(1+(C69/100))</f>
        <v>0.98375999999999997</v>
      </c>
      <c r="D73" s="48">
        <f t="shared" ref="D73" si="13">C73*(1+(D69/100))</f>
        <v>1.051491876</v>
      </c>
      <c r="E73" s="48">
        <f t="shared" ref="E73" si="14">D73*(1+(E69/100))</f>
        <v>1.0796928881143202</v>
      </c>
      <c r="F73" s="48">
        <f t="shared" ref="F73" si="15">E73*(1+(F69/100))</f>
        <v>1.1130230075704093</v>
      </c>
      <c r="G73" s="48">
        <f t="shared" ref="G73" si="16">F73*(1+(G69/100))</f>
        <v>1.1473820278141078</v>
      </c>
      <c r="H73" s="48">
        <f t="shared" ref="H73" si="17">G73*(1+(H69/100))</f>
        <v>1.1828017110127294</v>
      </c>
    </row>
    <row r="74" spans="1:16" s="48" customFormat="1" x14ac:dyDescent="0.25">
      <c r="A74" s="48" t="s">
        <v>423</v>
      </c>
      <c r="B74" s="48">
        <f t="shared" ref="B74:H74" si="18">B72/B73</f>
        <v>1117</v>
      </c>
      <c r="C74" s="48">
        <f t="shared" si="18"/>
        <v>1146.6211271041718</v>
      </c>
      <c r="D74" s="48">
        <f t="shared" si="18"/>
        <v>1060.3981119108523</v>
      </c>
      <c r="E74" s="48">
        <f t="shared" si="18"/>
        <v>1162.3675712005968</v>
      </c>
      <c r="F74" s="48">
        <f t="shared" si="18"/>
        <v>1134.747432361683</v>
      </c>
      <c r="G74" s="48">
        <f t="shared" si="18"/>
        <v>1136.5002835927864</v>
      </c>
      <c r="H74" s="48">
        <f t="shared" si="18"/>
        <v>1119.3761284521436</v>
      </c>
    </row>
    <row r="75" spans="1:16" s="48" customFormat="1" x14ac:dyDescent="0.25">
      <c r="A75" s="48" t="s">
        <v>424</v>
      </c>
      <c r="B75" s="48">
        <v>16.425999999999998</v>
      </c>
      <c r="C75" s="48">
        <v>16.914999999999999</v>
      </c>
      <c r="D75" s="48">
        <v>17.414000000000001</v>
      </c>
      <c r="E75" s="48">
        <v>17.920999999999999</v>
      </c>
      <c r="F75" s="48">
        <v>18.437000000000001</v>
      </c>
      <c r="G75" s="48">
        <v>18.960999999999999</v>
      </c>
      <c r="H75" s="48">
        <v>19.491</v>
      </c>
    </row>
    <row r="76" spans="1:16" s="48" customFormat="1" x14ac:dyDescent="0.25">
      <c r="A76" s="48" t="s">
        <v>425</v>
      </c>
      <c r="B76" s="48">
        <f t="shared" ref="B76" si="19">B74/B75</f>
        <v>68.001948131011815</v>
      </c>
      <c r="C76" s="48">
        <f>C74/C75</f>
        <v>67.787237783279451</v>
      </c>
      <c r="D76" s="48">
        <f>D74/D75</f>
        <v>60.89342551457748</v>
      </c>
      <c r="E76" s="48">
        <f>E74/E75</f>
        <v>64.860642330260404</v>
      </c>
      <c r="F76" s="48">
        <f>F74/F75</f>
        <v>61.547292529244608</v>
      </c>
      <c r="G76" s="48">
        <f>G74/G75</f>
        <v>59.938836748736172</v>
      </c>
      <c r="H76" s="48">
        <f t="shared" ref="H76" si="20">H74/H75</f>
        <v>57.430410366432895</v>
      </c>
    </row>
    <row r="77" spans="1:16" s="48" customFormat="1" x14ac:dyDescent="0.25">
      <c r="A77" s="48" t="s">
        <v>420</v>
      </c>
      <c r="B77" s="48">
        <v>100</v>
      </c>
      <c r="C77" s="48">
        <f>(C76/B76)*B77</f>
        <v>99.684258534301534</v>
      </c>
      <c r="D77" s="48">
        <f>(D76/C76)*C77</f>
        <v>89.546589749547863</v>
      </c>
      <c r="E77" s="48">
        <f>(E76/D76)*D77</f>
        <v>95.380564988080337</v>
      </c>
      <c r="F77" s="48">
        <f>(F76/E76)*E77</f>
        <v>90.508131341573133</v>
      </c>
      <c r="G77" s="48">
        <f>(G76/F76)*F77</f>
        <v>88.14282295745214</v>
      </c>
      <c r="H77" s="48">
        <f t="shared" ref="H77" si="21">(H76/G76)*G77</f>
        <v>84.454066309671148</v>
      </c>
    </row>
  </sheetData>
  <hyperlinks>
    <hyperlink ref="S16" r:id="rId1" xr:uid="{6BC68206-3031-4F3C-B122-2442B34F7CC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AE644-0B85-42F0-BA8A-0B41C13B7766}">
  <dimension ref="A1:AW160"/>
  <sheetViews>
    <sheetView topLeftCell="A130" workbookViewId="0">
      <selection activeCell="A160" sqref="A160"/>
    </sheetView>
  </sheetViews>
  <sheetFormatPr defaultRowHeight="15" x14ac:dyDescent="0.25"/>
  <cols>
    <col min="2" max="2" width="10.85546875" customWidth="1"/>
  </cols>
  <sheetData>
    <row r="1" spans="1:8" x14ac:dyDescent="0.25">
      <c r="A1" s="1" t="s">
        <v>53</v>
      </c>
    </row>
    <row r="3" spans="1:8" s="4" customFormat="1" x14ac:dyDescent="0.25">
      <c r="A3" s="3" t="s">
        <v>30</v>
      </c>
    </row>
    <row r="4" spans="1:8" s="4" customFormat="1" x14ac:dyDescent="0.25">
      <c r="C4" s="4">
        <v>2024</v>
      </c>
      <c r="D4" s="4">
        <f>C4+1</f>
        <v>2025</v>
      </c>
      <c r="E4" s="4">
        <f t="shared" ref="E4:G4" si="0">D4+1</f>
        <v>2026</v>
      </c>
      <c r="F4" s="4">
        <f t="shared" si="0"/>
        <v>2027</v>
      </c>
      <c r="G4" s="4">
        <f t="shared" si="0"/>
        <v>2028</v>
      </c>
      <c r="H4" s="4" t="s">
        <v>3</v>
      </c>
    </row>
    <row r="5" spans="1:8" s="4" customFormat="1" x14ac:dyDescent="0.25">
      <c r="A5" s="4" t="s">
        <v>54</v>
      </c>
      <c r="C5" s="4">
        <v>16.600000000000001</v>
      </c>
      <c r="D5" s="4">
        <v>17.399999999999999</v>
      </c>
      <c r="E5" s="4">
        <v>18.3</v>
      </c>
      <c r="F5" s="4">
        <v>18.100000000000001</v>
      </c>
      <c r="G5" s="4">
        <v>17.899999999999999</v>
      </c>
      <c r="H5" s="4" t="s">
        <v>89</v>
      </c>
    </row>
    <row r="6" spans="1:8" s="4" customFormat="1" x14ac:dyDescent="0.25">
      <c r="A6" s="4" t="s">
        <v>55</v>
      </c>
      <c r="C6" s="4">
        <v>75244</v>
      </c>
      <c r="D6" s="4">
        <v>76019</v>
      </c>
      <c r="E6" s="4">
        <v>81084</v>
      </c>
      <c r="F6" s="4">
        <v>86456</v>
      </c>
      <c r="G6" s="4">
        <v>92244</v>
      </c>
      <c r="H6" s="4" t="s">
        <v>89</v>
      </c>
    </row>
    <row r="7" spans="1:8" s="4" customFormat="1" x14ac:dyDescent="0.25">
      <c r="A7" s="4" t="s">
        <v>56</v>
      </c>
      <c r="C7" s="4">
        <f>C6*(C5/100)</f>
        <v>12490.504000000001</v>
      </c>
      <c r="D7" s="4">
        <f t="shared" ref="D7:G7" si="1">D6*(D5/100)</f>
        <v>13227.305999999999</v>
      </c>
      <c r="E7" s="4">
        <f t="shared" si="1"/>
        <v>14838.371999999999</v>
      </c>
      <c r="F7" s="4">
        <f t="shared" si="1"/>
        <v>15648.536000000002</v>
      </c>
      <c r="G7" s="4">
        <f t="shared" si="1"/>
        <v>16511.675999999999</v>
      </c>
      <c r="H7" s="4" t="s">
        <v>89</v>
      </c>
    </row>
    <row r="8" spans="1:8" s="4" customFormat="1" x14ac:dyDescent="0.25">
      <c r="A8" s="4" t="s">
        <v>57</v>
      </c>
      <c r="C8" s="4">
        <f>C25</f>
        <v>477</v>
      </c>
      <c r="D8" s="4">
        <f t="shared" ref="D8:G8" si="2">D25</f>
        <v>692</v>
      </c>
      <c r="E8" s="4">
        <f t="shared" si="2"/>
        <v>1377</v>
      </c>
      <c r="F8" s="4">
        <f t="shared" si="2"/>
        <v>1133</v>
      </c>
      <c r="G8" s="4">
        <f t="shared" si="2"/>
        <v>1099</v>
      </c>
      <c r="H8" s="4" t="s">
        <v>67</v>
      </c>
    </row>
    <row r="9" spans="1:8" s="4" customFormat="1" x14ac:dyDescent="0.25">
      <c r="A9" s="4" t="s">
        <v>58</v>
      </c>
      <c r="C9" s="4">
        <f>C51</f>
        <v>0</v>
      </c>
      <c r="D9" s="4">
        <f t="shared" ref="D9:G9" si="3">D51</f>
        <v>0</v>
      </c>
      <c r="E9" s="4">
        <f t="shared" si="3"/>
        <v>0</v>
      </c>
      <c r="F9" s="4">
        <f t="shared" si="3"/>
        <v>0</v>
      </c>
      <c r="G9" s="4">
        <f t="shared" si="3"/>
        <v>167.11273752754957</v>
      </c>
      <c r="H9" s="4" t="s">
        <v>86</v>
      </c>
    </row>
    <row r="10" spans="1:8" s="4" customFormat="1" x14ac:dyDescent="0.25">
      <c r="A10" s="4" t="s">
        <v>59</v>
      </c>
      <c r="C10" s="4">
        <v>434.93928529999999</v>
      </c>
      <c r="D10" s="4">
        <v>556.33047150000004</v>
      </c>
      <c r="E10" s="4">
        <v>677.66375429999994</v>
      </c>
      <c r="F10" s="4">
        <v>662.08674789999998</v>
      </c>
      <c r="G10" s="4">
        <v>649.05547920000004</v>
      </c>
      <c r="H10" s="4" t="s">
        <v>45</v>
      </c>
    </row>
    <row r="11" spans="1:8" s="4" customFormat="1" x14ac:dyDescent="0.25">
      <c r="A11" s="4" t="s">
        <v>60</v>
      </c>
      <c r="C11" s="4">
        <v>201</v>
      </c>
      <c r="D11" s="4">
        <v>346</v>
      </c>
      <c r="E11" s="4">
        <v>403</v>
      </c>
      <c r="F11" s="4">
        <v>367</v>
      </c>
      <c r="G11" s="4">
        <v>394</v>
      </c>
      <c r="H11" s="4" t="s">
        <v>87</v>
      </c>
    </row>
    <row r="12" spans="1:8" s="4" customFormat="1" x14ac:dyDescent="0.25">
      <c r="A12" s="4" t="s">
        <v>61</v>
      </c>
      <c r="C12" s="4">
        <f>C8*0.34</f>
        <v>162.18</v>
      </c>
      <c r="D12" s="4">
        <f t="shared" ref="D12:G12" si="4">D8*0.34</f>
        <v>235.28000000000003</v>
      </c>
      <c r="E12" s="4">
        <f t="shared" si="4"/>
        <v>468.18</v>
      </c>
      <c r="F12" s="4">
        <f t="shared" si="4"/>
        <v>385.22</v>
      </c>
      <c r="G12" s="4">
        <f t="shared" si="4"/>
        <v>373.66</v>
      </c>
      <c r="H12" s="4" t="s">
        <v>62</v>
      </c>
    </row>
    <row r="13" spans="1:8" s="4" customFormat="1" x14ac:dyDescent="0.25">
      <c r="A13" s="4" t="s">
        <v>63</v>
      </c>
      <c r="C13" s="4">
        <f>C8+C9+C10+C11+C12</f>
        <v>1275.1192853</v>
      </c>
      <c r="D13" s="4">
        <f t="shared" ref="D13:G13" si="5">D8+D9+D10+D11+D12</f>
        <v>1829.6104714999999</v>
      </c>
      <c r="E13" s="4">
        <f t="shared" si="5"/>
        <v>2925.8437542999995</v>
      </c>
      <c r="F13" s="4">
        <f t="shared" si="5"/>
        <v>2547.3067479000001</v>
      </c>
      <c r="G13" s="4">
        <f t="shared" si="5"/>
        <v>2682.8282167275493</v>
      </c>
    </row>
    <row r="14" spans="1:8" s="4" customFormat="1" x14ac:dyDescent="0.25">
      <c r="H14" s="4" t="s">
        <v>2</v>
      </c>
    </row>
    <row r="15" spans="1:8" s="4" customFormat="1" x14ac:dyDescent="0.25">
      <c r="A15" s="4" t="s">
        <v>64</v>
      </c>
      <c r="C15" s="6">
        <f>C13/C7</f>
        <v>0.10208709634935467</v>
      </c>
      <c r="D15" s="6">
        <f t="shared" ref="D15:G15" si="6">D13/D7</f>
        <v>0.13832071863310641</v>
      </c>
      <c r="E15" s="6">
        <f t="shared" si="6"/>
        <v>0.19718091407197499</v>
      </c>
      <c r="F15" s="6">
        <f t="shared" si="6"/>
        <v>0.16278243203709278</v>
      </c>
      <c r="G15" s="6">
        <f t="shared" si="6"/>
        <v>0.16248067226655546</v>
      </c>
      <c r="H15" s="6">
        <f>SUM(C15:G15)/5</f>
        <v>0.15257036667161689</v>
      </c>
    </row>
    <row r="16" spans="1:8" s="4" customFormat="1" x14ac:dyDescent="0.25">
      <c r="A16" s="4" t="s">
        <v>65</v>
      </c>
      <c r="C16" s="6">
        <v>0.18</v>
      </c>
      <c r="D16" s="6">
        <v>0.18</v>
      </c>
      <c r="E16" s="6">
        <v>0.18</v>
      </c>
      <c r="F16" s="6">
        <v>0.18</v>
      </c>
      <c r="G16" s="6">
        <v>0.18</v>
      </c>
    </row>
    <row r="17" spans="1:17" s="4" customFormat="1" x14ac:dyDescent="0.25">
      <c r="A17" s="4" t="s">
        <v>88</v>
      </c>
      <c r="C17" s="6">
        <v>0.26800000000000002</v>
      </c>
      <c r="D17" s="6">
        <v>0.35799999999999998</v>
      </c>
      <c r="E17" s="6">
        <v>0.28999999999999998</v>
      </c>
      <c r="F17" s="6">
        <v>0.28499999999999998</v>
      </c>
      <c r="G17" s="6">
        <v>0.249</v>
      </c>
    </row>
    <row r="18" spans="1:17" x14ac:dyDescent="0.25">
      <c r="C18" s="2"/>
      <c r="D18" s="2"/>
      <c r="E18" s="2"/>
      <c r="F18" s="2"/>
      <c r="G18" s="2"/>
    </row>
    <row r="19" spans="1:17" s="8" customFormat="1" x14ac:dyDescent="0.25">
      <c r="A19" s="7" t="s">
        <v>31</v>
      </c>
    </row>
    <row r="20" spans="1:17" s="8" customFormat="1" x14ac:dyDescent="0.25"/>
    <row r="21" spans="1:17" s="8" customFormat="1" x14ac:dyDescent="0.25">
      <c r="A21" s="7" t="s">
        <v>23</v>
      </c>
      <c r="C21" s="8" t="s">
        <v>3</v>
      </c>
    </row>
    <row r="22" spans="1:17" s="8" customFormat="1" x14ac:dyDescent="0.25">
      <c r="A22" s="8" t="s">
        <v>72</v>
      </c>
      <c r="B22" s="8">
        <v>13104</v>
      </c>
      <c r="C22" s="8" t="s">
        <v>73</v>
      </c>
    </row>
    <row r="23" spans="1:17" s="8" customFormat="1" x14ac:dyDescent="0.25">
      <c r="A23" s="7"/>
    </row>
    <row r="24" spans="1:17" s="8" customFormat="1" x14ac:dyDescent="0.25">
      <c r="A24" s="9" t="s">
        <v>67</v>
      </c>
      <c r="B24" s="8">
        <v>2023</v>
      </c>
      <c r="C24" s="8">
        <f>B24+1</f>
        <v>2024</v>
      </c>
      <c r="D24" s="8">
        <f t="shared" ref="D24:P24" si="7">C24+1</f>
        <v>2025</v>
      </c>
      <c r="E24" s="8">
        <f t="shared" si="7"/>
        <v>2026</v>
      </c>
      <c r="F24" s="8">
        <f t="shared" si="7"/>
        <v>2027</v>
      </c>
      <c r="G24" s="8">
        <f t="shared" si="7"/>
        <v>2028</v>
      </c>
      <c r="H24" s="8">
        <f t="shared" si="7"/>
        <v>2029</v>
      </c>
      <c r="I24" s="8">
        <f t="shared" si="7"/>
        <v>2030</v>
      </c>
      <c r="J24" s="8">
        <f t="shared" si="7"/>
        <v>2031</v>
      </c>
      <c r="K24" s="8">
        <f t="shared" si="7"/>
        <v>2032</v>
      </c>
      <c r="L24" s="8">
        <f t="shared" si="7"/>
        <v>2033</v>
      </c>
      <c r="M24" s="8">
        <f t="shared" si="7"/>
        <v>2034</v>
      </c>
      <c r="N24" s="8">
        <f t="shared" si="7"/>
        <v>2035</v>
      </c>
      <c r="O24" s="8">
        <f t="shared" si="7"/>
        <v>2036</v>
      </c>
      <c r="P24" s="8">
        <f t="shared" si="7"/>
        <v>2037</v>
      </c>
      <c r="Q24" s="8" t="s">
        <v>3</v>
      </c>
    </row>
    <row r="25" spans="1:17" s="8" customFormat="1" x14ac:dyDescent="0.25">
      <c r="A25" s="8" t="s">
        <v>13</v>
      </c>
      <c r="B25" s="8">
        <v>0</v>
      </c>
      <c r="C25" s="8">
        <v>477</v>
      </c>
      <c r="D25" s="8">
        <v>692</v>
      </c>
      <c r="E25" s="8">
        <v>1377</v>
      </c>
      <c r="F25" s="8">
        <v>1133</v>
      </c>
      <c r="G25" s="8">
        <v>1099</v>
      </c>
      <c r="H25" s="8">
        <v>1109</v>
      </c>
      <c r="I25" s="8">
        <v>937</v>
      </c>
      <c r="J25" s="8">
        <v>838</v>
      </c>
      <c r="K25" s="8">
        <v>801</v>
      </c>
      <c r="L25" s="8">
        <v>763</v>
      </c>
      <c r="M25" s="8">
        <v>726</v>
      </c>
      <c r="N25" s="8">
        <v>942</v>
      </c>
      <c r="O25" s="8">
        <v>1043</v>
      </c>
      <c r="P25" s="8">
        <v>516</v>
      </c>
      <c r="Q25" s="8" t="s">
        <v>67</v>
      </c>
    </row>
    <row r="26" spans="1:17" s="8" customFormat="1" x14ac:dyDescent="0.25"/>
    <row r="27" spans="1:17" s="8" customFormat="1" x14ac:dyDescent="0.25">
      <c r="A27" s="8" t="s">
        <v>14</v>
      </c>
      <c r="B27" s="8">
        <v>0.05</v>
      </c>
    </row>
    <row r="28" spans="1:17" s="8" customFormat="1" x14ac:dyDescent="0.25"/>
    <row r="29" spans="1:17" s="8" customFormat="1" x14ac:dyDescent="0.25">
      <c r="A29" s="8" t="s">
        <v>15</v>
      </c>
      <c r="B29" s="10">
        <f>NPV(B27,B25:P25)</f>
        <v>8450.3143929879479</v>
      </c>
    </row>
    <row r="30" spans="1:17" s="8" customFormat="1" x14ac:dyDescent="0.25"/>
    <row r="31" spans="1:17" s="8" customFormat="1" x14ac:dyDescent="0.25">
      <c r="A31" s="8" t="s">
        <v>16</v>
      </c>
      <c r="B31" s="11">
        <f>B29/B22</f>
        <v>0.6448652619801547</v>
      </c>
    </row>
    <row r="32" spans="1:17" s="8" customFormat="1" x14ac:dyDescent="0.25"/>
    <row r="33" spans="1:28" s="8" customFormat="1" x14ac:dyDescent="0.25">
      <c r="A33" s="7" t="s">
        <v>17</v>
      </c>
      <c r="C33" s="8" t="s">
        <v>3</v>
      </c>
    </row>
    <row r="34" spans="1:28" s="8" customFormat="1" x14ac:dyDescent="0.25">
      <c r="A34" s="8" t="s">
        <v>72</v>
      </c>
      <c r="B34" s="8">
        <v>5186</v>
      </c>
      <c r="C34" s="9" t="s">
        <v>73</v>
      </c>
    </row>
    <row r="35" spans="1:28" s="8" customFormat="1" x14ac:dyDescent="0.25"/>
    <row r="36" spans="1:28" s="8" customFormat="1" x14ac:dyDescent="0.25">
      <c r="A36" s="8" t="s">
        <v>74</v>
      </c>
      <c r="B36" s="8" t="s">
        <v>3</v>
      </c>
    </row>
    <row r="37" spans="1:28" s="8" customFormat="1" x14ac:dyDescent="0.25">
      <c r="A37" s="8" t="s">
        <v>84</v>
      </c>
      <c r="B37" s="8" t="s">
        <v>75</v>
      </c>
    </row>
    <row r="38" spans="1:28" s="8" customFormat="1" x14ac:dyDescent="0.25">
      <c r="A38" s="8" t="s">
        <v>76</v>
      </c>
      <c r="B38" s="8" t="s">
        <v>77</v>
      </c>
    </row>
    <row r="39" spans="1:28" s="8" customFormat="1" x14ac:dyDescent="0.25">
      <c r="A39" s="8" t="s">
        <v>78</v>
      </c>
      <c r="B39" s="8" t="s">
        <v>77</v>
      </c>
    </row>
    <row r="40" spans="1:28" s="8" customFormat="1" x14ac:dyDescent="0.25">
      <c r="C40" s="8" t="s">
        <v>3</v>
      </c>
    </row>
    <row r="41" spans="1:28" s="8" customFormat="1" x14ac:dyDescent="0.25">
      <c r="A41" s="8" t="s">
        <v>79</v>
      </c>
      <c r="B41" s="8">
        <v>2.8000000000000001E-2</v>
      </c>
      <c r="C41" s="8" t="s">
        <v>27</v>
      </c>
    </row>
    <row r="42" spans="1:28" s="8" customFormat="1" x14ac:dyDescent="0.25">
      <c r="A42" s="7"/>
    </row>
    <row r="43" spans="1:28" s="8" customFormat="1" x14ac:dyDescent="0.25">
      <c r="B43" s="8">
        <v>2023</v>
      </c>
      <c r="C43" s="8">
        <f>B43+1</f>
        <v>2024</v>
      </c>
      <c r="D43" s="8">
        <f t="shared" ref="D43:U43" si="8">C43+1</f>
        <v>2025</v>
      </c>
      <c r="E43" s="8">
        <f t="shared" si="8"/>
        <v>2026</v>
      </c>
      <c r="F43" s="8">
        <f t="shared" si="8"/>
        <v>2027</v>
      </c>
      <c r="G43" s="8">
        <f t="shared" si="8"/>
        <v>2028</v>
      </c>
      <c r="H43" s="8">
        <f t="shared" si="8"/>
        <v>2029</v>
      </c>
      <c r="I43" s="8">
        <f t="shared" si="8"/>
        <v>2030</v>
      </c>
      <c r="J43" s="8">
        <f t="shared" si="8"/>
        <v>2031</v>
      </c>
      <c r="K43" s="8">
        <f t="shared" si="8"/>
        <v>2032</v>
      </c>
      <c r="L43" s="8">
        <f t="shared" si="8"/>
        <v>2033</v>
      </c>
      <c r="M43" s="8">
        <f t="shared" si="8"/>
        <v>2034</v>
      </c>
      <c r="N43" s="8">
        <f t="shared" si="8"/>
        <v>2035</v>
      </c>
      <c r="O43" s="8">
        <f t="shared" si="8"/>
        <v>2036</v>
      </c>
      <c r="P43" s="8">
        <f t="shared" si="8"/>
        <v>2037</v>
      </c>
      <c r="Q43" s="8">
        <f t="shared" si="8"/>
        <v>2038</v>
      </c>
      <c r="R43" s="8">
        <f t="shared" si="8"/>
        <v>2039</v>
      </c>
      <c r="S43" s="8">
        <f t="shared" si="8"/>
        <v>2040</v>
      </c>
      <c r="T43" s="8">
        <f t="shared" si="8"/>
        <v>2041</v>
      </c>
      <c r="U43" s="8">
        <f t="shared" si="8"/>
        <v>2042</v>
      </c>
      <c r="V43" s="8">
        <f>U43+1</f>
        <v>2043</v>
      </c>
      <c r="W43" s="8">
        <f>V43+1</f>
        <v>2044</v>
      </c>
      <c r="X43" s="8">
        <f t="shared" ref="X43:AB43" si="9">W43+1</f>
        <v>2045</v>
      </c>
      <c r="Y43" s="8">
        <f t="shared" si="9"/>
        <v>2046</v>
      </c>
      <c r="Z43" s="8">
        <f t="shared" si="9"/>
        <v>2047</v>
      </c>
      <c r="AA43" s="8">
        <f t="shared" si="9"/>
        <v>2048</v>
      </c>
      <c r="AB43" s="8">
        <f t="shared" si="9"/>
        <v>2049</v>
      </c>
    </row>
    <row r="44" spans="1:28" s="8" customFormat="1" x14ac:dyDescent="0.25">
      <c r="A44" s="8" t="s">
        <v>85</v>
      </c>
      <c r="F44" s="8">
        <f>SUM(B45:F45)</f>
        <v>2438.6524560999997</v>
      </c>
    </row>
    <row r="45" spans="1:28" s="8" customFormat="1" x14ac:dyDescent="0.25">
      <c r="A45" s="8" t="s">
        <v>80</v>
      </c>
      <c r="B45" s="8">
        <v>519.77203329999998</v>
      </c>
      <c r="C45" s="8">
        <v>495.16792420000002</v>
      </c>
      <c r="D45" s="8">
        <v>510.66746460000002</v>
      </c>
      <c r="E45" s="8">
        <v>524.25234260000002</v>
      </c>
      <c r="F45" s="8">
        <v>388.79269139999997</v>
      </c>
      <c r="G45" s="8">
        <f>(B46-F44)/5</f>
        <v>549.46950878000007</v>
      </c>
      <c r="H45" s="8">
        <f>G45</f>
        <v>549.46950878000007</v>
      </c>
      <c r="I45" s="8">
        <f t="shared" ref="I45:K45" si="10">H45</f>
        <v>549.46950878000007</v>
      </c>
      <c r="J45" s="8">
        <f t="shared" si="10"/>
        <v>549.46950878000007</v>
      </c>
      <c r="K45" s="8">
        <f t="shared" si="10"/>
        <v>549.46950878000007</v>
      </c>
    </row>
    <row r="46" spans="1:28" s="8" customFormat="1" x14ac:dyDescent="0.25">
      <c r="A46" s="8" t="s">
        <v>81</v>
      </c>
      <c r="B46" s="8">
        <v>5186</v>
      </c>
      <c r="C46" s="8">
        <f>B46+B48-B47</f>
        <v>5331.2079999999996</v>
      </c>
      <c r="D46" s="8">
        <f t="shared" ref="D46:AB46" si="11">C46+C48-C47</f>
        <v>5480.4818239999995</v>
      </c>
      <c r="E46" s="8">
        <f t="shared" si="11"/>
        <v>5633.9353150719999</v>
      </c>
      <c r="F46" s="8">
        <f t="shared" si="11"/>
        <v>5791.6855038940157</v>
      </c>
      <c r="G46" s="8">
        <f t="shared" si="11"/>
        <v>5953.8526980030483</v>
      </c>
      <c r="H46" s="8">
        <f t="shared" si="11"/>
        <v>5953.8526980030483</v>
      </c>
      <c r="I46" s="8">
        <f t="shared" si="11"/>
        <v>5953.8526980030483</v>
      </c>
      <c r="J46" s="8">
        <f t="shared" si="11"/>
        <v>5953.8526980030483</v>
      </c>
      <c r="K46" s="8">
        <f t="shared" si="11"/>
        <v>5953.8526980030483</v>
      </c>
      <c r="L46" s="8">
        <f t="shared" si="11"/>
        <v>5953.8526980030483</v>
      </c>
      <c r="M46" s="8">
        <f t="shared" si="11"/>
        <v>5953.8526980030483</v>
      </c>
      <c r="N46" s="8">
        <f t="shared" si="11"/>
        <v>5953.8526980030483</v>
      </c>
      <c r="O46" s="8">
        <f t="shared" si="11"/>
        <v>5953.8526980030483</v>
      </c>
      <c r="P46" s="8">
        <f t="shared" si="11"/>
        <v>5953.8526980030483</v>
      </c>
      <c r="Q46" s="8">
        <f t="shared" si="11"/>
        <v>5953.8526980030483</v>
      </c>
      <c r="R46" s="8">
        <f t="shared" si="11"/>
        <v>5953.8526980030483</v>
      </c>
      <c r="S46" s="8">
        <f t="shared" si="11"/>
        <v>5621.3626813530482</v>
      </c>
      <c r="T46" s="8">
        <f t="shared" si="11"/>
        <v>4966.6517906030485</v>
      </c>
      <c r="U46" s="8">
        <f t="shared" si="11"/>
        <v>4312.3704386670488</v>
      </c>
      <c r="V46" s="8">
        <f t="shared" si="11"/>
        <v>3639.3086951200407</v>
      </c>
      <c r="W46" s="8">
        <f t="shared" si="11"/>
        <v>3022.8274866545166</v>
      </c>
      <c r="X46" s="8">
        <f t="shared" si="11"/>
        <v>2472.6127895100003</v>
      </c>
      <c r="Y46" s="8">
        <f t="shared" si="11"/>
        <v>1923.1432807300002</v>
      </c>
      <c r="Z46" s="8">
        <f t="shared" si="11"/>
        <v>1373.6737719500002</v>
      </c>
      <c r="AA46" s="8">
        <f t="shared" si="11"/>
        <v>824.2042631700001</v>
      </c>
      <c r="AB46" s="8">
        <f t="shared" si="11"/>
        <v>274.73475439000003</v>
      </c>
    </row>
    <row r="47" spans="1:28" s="8" customFormat="1" x14ac:dyDescent="0.25">
      <c r="A47" s="8" t="s">
        <v>29</v>
      </c>
      <c r="R47" s="8">
        <f>(B45*0.5)+(B48*0.5)</f>
        <v>332.49001664999997</v>
      </c>
      <c r="S47" s="8">
        <f>(B45*0.5)+(C45*0.5)+(B48*0.5+C48*0.5)</f>
        <v>654.71089074999998</v>
      </c>
      <c r="T47" s="8">
        <f>(C45*0.5)+(D45*0.5)+(C48*0.5+D48*0.5)</f>
        <v>654.28135193599996</v>
      </c>
      <c r="U47" s="8">
        <f>(D45*0.5)+(E45*0.5)+(D48*0.5+E48*0.5)</f>
        <v>673.06174354700795</v>
      </c>
      <c r="V47" s="8">
        <f>(E45*0.5)+(F45*0.5)+(E48*0.5+F48*0.5)</f>
        <v>616.48120846552422</v>
      </c>
      <c r="W47" s="8">
        <f>(F45*0.5)+(G45*0.5)+(F48*0.5)</f>
        <v>550.21469714451621</v>
      </c>
      <c r="X47" s="8">
        <f t="shared" ref="X47:AA47" si="12">(G45*0.5)+(H45*0.5)</f>
        <v>549.46950878000007</v>
      </c>
      <c r="Y47" s="8">
        <f t="shared" si="12"/>
        <v>549.46950878000007</v>
      </c>
      <c r="Z47" s="8">
        <f t="shared" si="12"/>
        <v>549.46950878000007</v>
      </c>
      <c r="AA47" s="8">
        <f t="shared" si="12"/>
        <v>549.46950878000007</v>
      </c>
      <c r="AB47" s="8">
        <f>K45*0.5</f>
        <v>274.73475439000003</v>
      </c>
    </row>
    <row r="48" spans="1:28" s="8" customFormat="1" x14ac:dyDescent="0.25">
      <c r="A48" s="8" t="s">
        <v>82</v>
      </c>
      <c r="B48" s="8">
        <f>B46*0.028</f>
        <v>145.208</v>
      </c>
      <c r="C48" s="8">
        <f>C46*0.028</f>
        <v>149.27382399999999</v>
      </c>
      <c r="D48" s="8">
        <f>D46*0.028</f>
        <v>153.45349107199999</v>
      </c>
      <c r="E48" s="8">
        <f>E46*0.028</f>
        <v>157.75018882201599</v>
      </c>
      <c r="F48" s="8">
        <f>F46*0.028</f>
        <v>162.16719410903244</v>
      </c>
    </row>
    <row r="49" spans="1:49" s="8" customFormat="1" x14ac:dyDescent="0.25">
      <c r="A49" s="8" t="s">
        <v>70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>
        <f t="shared" ref="G49:W49" si="13">G46*0.028068</f>
        <v>167.11273752754957</v>
      </c>
      <c r="H49" s="8">
        <f t="shared" si="13"/>
        <v>167.11273752754957</v>
      </c>
      <c r="I49" s="8">
        <f t="shared" si="13"/>
        <v>167.11273752754957</v>
      </c>
      <c r="J49" s="8">
        <f t="shared" si="13"/>
        <v>167.11273752754957</v>
      </c>
      <c r="K49" s="8">
        <f t="shared" si="13"/>
        <v>167.11273752754957</v>
      </c>
      <c r="L49" s="8">
        <f t="shared" si="13"/>
        <v>167.11273752754957</v>
      </c>
      <c r="M49" s="8">
        <f t="shared" si="13"/>
        <v>167.11273752754957</v>
      </c>
      <c r="N49" s="8">
        <f t="shared" si="13"/>
        <v>167.11273752754957</v>
      </c>
      <c r="O49" s="8">
        <f t="shared" si="13"/>
        <v>167.11273752754957</v>
      </c>
      <c r="P49" s="8">
        <f t="shared" si="13"/>
        <v>167.11273752754957</v>
      </c>
      <c r="Q49" s="8">
        <f t="shared" si="13"/>
        <v>167.11273752754957</v>
      </c>
      <c r="R49" s="8">
        <f t="shared" si="13"/>
        <v>167.11273752754957</v>
      </c>
      <c r="S49" s="8">
        <f t="shared" si="13"/>
        <v>157.78040774021736</v>
      </c>
      <c r="T49" s="8">
        <f t="shared" si="13"/>
        <v>139.40398245864637</v>
      </c>
      <c r="U49" s="8">
        <f t="shared" si="13"/>
        <v>121.03961347250672</v>
      </c>
      <c r="V49" s="8">
        <f t="shared" si="13"/>
        <v>102.1481164546293</v>
      </c>
      <c r="W49" s="8">
        <f t="shared" si="13"/>
        <v>84.844721895418971</v>
      </c>
    </row>
    <row r="50" spans="1:49" s="8" customFormat="1" x14ac:dyDescent="0.25"/>
    <row r="51" spans="1:49" s="8" customFormat="1" x14ac:dyDescent="0.25">
      <c r="A51" s="8" t="s">
        <v>13</v>
      </c>
      <c r="B51" s="8">
        <f>B47+B49</f>
        <v>0</v>
      </c>
      <c r="C51" s="8">
        <f t="shared" ref="C51:AB51" si="14">C47+C49</f>
        <v>0</v>
      </c>
      <c r="D51" s="8">
        <f t="shared" si="14"/>
        <v>0</v>
      </c>
      <c r="E51" s="8">
        <f t="shared" si="14"/>
        <v>0</v>
      </c>
      <c r="F51" s="8">
        <f t="shared" si="14"/>
        <v>0</v>
      </c>
      <c r="G51" s="8">
        <f t="shared" si="14"/>
        <v>167.11273752754957</v>
      </c>
      <c r="H51" s="8">
        <f t="shared" si="14"/>
        <v>167.11273752754957</v>
      </c>
      <c r="I51" s="8">
        <f t="shared" si="14"/>
        <v>167.11273752754957</v>
      </c>
      <c r="J51" s="8">
        <f t="shared" si="14"/>
        <v>167.11273752754957</v>
      </c>
      <c r="K51" s="8">
        <f t="shared" si="14"/>
        <v>167.11273752754957</v>
      </c>
      <c r="L51" s="8">
        <f t="shared" si="14"/>
        <v>167.11273752754957</v>
      </c>
      <c r="M51" s="8">
        <f t="shared" si="14"/>
        <v>167.11273752754957</v>
      </c>
      <c r="N51" s="8">
        <f t="shared" si="14"/>
        <v>167.11273752754957</v>
      </c>
      <c r="O51" s="8">
        <f t="shared" si="14"/>
        <v>167.11273752754957</v>
      </c>
      <c r="P51" s="8">
        <f t="shared" si="14"/>
        <v>167.11273752754957</v>
      </c>
      <c r="Q51" s="8">
        <f t="shared" si="14"/>
        <v>167.11273752754957</v>
      </c>
      <c r="R51" s="8">
        <f t="shared" si="14"/>
        <v>499.60275417754951</v>
      </c>
      <c r="S51" s="8">
        <f t="shared" si="14"/>
        <v>812.49129849021733</v>
      </c>
      <c r="T51" s="8">
        <f t="shared" si="14"/>
        <v>793.68533439464636</v>
      </c>
      <c r="U51" s="8">
        <f t="shared" si="14"/>
        <v>794.10135701951469</v>
      </c>
      <c r="V51" s="8">
        <f t="shared" si="14"/>
        <v>718.62932492015352</v>
      </c>
      <c r="W51" s="8">
        <f t="shared" si="14"/>
        <v>635.05941903993516</v>
      </c>
      <c r="X51" s="8">
        <f t="shared" si="14"/>
        <v>549.46950878000007</v>
      </c>
      <c r="Y51" s="8">
        <f t="shared" si="14"/>
        <v>549.46950878000007</v>
      </c>
      <c r="Z51" s="8">
        <f t="shared" si="14"/>
        <v>549.46950878000007</v>
      </c>
      <c r="AA51" s="8">
        <f t="shared" si="14"/>
        <v>549.46950878000007</v>
      </c>
      <c r="AB51" s="8">
        <f t="shared" si="14"/>
        <v>274.73475439000003</v>
      </c>
    </row>
    <row r="52" spans="1:49" s="8" customFormat="1" x14ac:dyDescent="0.25"/>
    <row r="53" spans="1:49" s="8" customFormat="1" x14ac:dyDescent="0.25">
      <c r="A53" s="8" t="s">
        <v>14</v>
      </c>
      <c r="B53" s="8">
        <v>0.05</v>
      </c>
    </row>
    <row r="54" spans="1:49" s="8" customFormat="1" x14ac:dyDescent="0.25"/>
    <row r="55" spans="1:49" s="8" customFormat="1" x14ac:dyDescent="0.25">
      <c r="A55" s="8" t="s">
        <v>15</v>
      </c>
      <c r="B55" s="10">
        <f>NPV(B53,B51:AB51)</f>
        <v>3471.2634494572076</v>
      </c>
      <c r="G55" s="22"/>
    </row>
    <row r="56" spans="1:49" s="8" customFormat="1" x14ac:dyDescent="0.25"/>
    <row r="57" spans="1:49" s="8" customFormat="1" x14ac:dyDescent="0.25">
      <c r="A57" s="8" t="s">
        <v>83</v>
      </c>
      <c r="B57" s="11">
        <f>B55/B34</f>
        <v>0.66935276696051049</v>
      </c>
    </row>
    <row r="59" spans="1:49" s="13" customFormat="1" x14ac:dyDescent="0.25">
      <c r="A59" s="12" t="s">
        <v>32</v>
      </c>
    </row>
    <row r="60" spans="1:49" s="13" customFormat="1" x14ac:dyDescent="0.25">
      <c r="H60" s="13">
        <v>2012</v>
      </c>
      <c r="I60" s="13">
        <f>H60+1</f>
        <v>2013</v>
      </c>
      <c r="J60" s="13">
        <f t="shared" ref="J60:AW60" si="15">I60+1</f>
        <v>2014</v>
      </c>
      <c r="K60" s="13">
        <f t="shared" si="15"/>
        <v>2015</v>
      </c>
      <c r="L60" s="13">
        <f t="shared" si="15"/>
        <v>2016</v>
      </c>
      <c r="M60" s="13">
        <f t="shared" si="15"/>
        <v>2017</v>
      </c>
      <c r="N60" s="13">
        <f t="shared" si="15"/>
        <v>2018</v>
      </c>
      <c r="O60" s="13">
        <f t="shared" si="15"/>
        <v>2019</v>
      </c>
      <c r="P60" s="13">
        <f t="shared" si="15"/>
        <v>2020</v>
      </c>
      <c r="Q60" s="13">
        <f t="shared" si="15"/>
        <v>2021</v>
      </c>
      <c r="R60" s="13">
        <f t="shared" si="15"/>
        <v>2022</v>
      </c>
      <c r="S60" s="13">
        <f t="shared" si="15"/>
        <v>2023</v>
      </c>
      <c r="T60" s="13">
        <f t="shared" si="15"/>
        <v>2024</v>
      </c>
      <c r="U60" s="13">
        <f t="shared" si="15"/>
        <v>2025</v>
      </c>
      <c r="V60" s="13">
        <f t="shared" si="15"/>
        <v>2026</v>
      </c>
      <c r="W60" s="13">
        <f t="shared" si="15"/>
        <v>2027</v>
      </c>
      <c r="X60" s="13">
        <f t="shared" si="15"/>
        <v>2028</v>
      </c>
      <c r="Y60" s="13">
        <f t="shared" si="15"/>
        <v>2029</v>
      </c>
      <c r="Z60" s="13">
        <f t="shared" si="15"/>
        <v>2030</v>
      </c>
      <c r="AA60" s="13">
        <f t="shared" si="15"/>
        <v>2031</v>
      </c>
      <c r="AB60" s="13">
        <f t="shared" si="15"/>
        <v>2032</v>
      </c>
      <c r="AC60" s="13">
        <f t="shared" si="15"/>
        <v>2033</v>
      </c>
      <c r="AD60" s="13">
        <f t="shared" si="15"/>
        <v>2034</v>
      </c>
      <c r="AE60" s="13">
        <f t="shared" si="15"/>
        <v>2035</v>
      </c>
      <c r="AF60" s="13">
        <f t="shared" si="15"/>
        <v>2036</v>
      </c>
      <c r="AG60" s="13">
        <f t="shared" si="15"/>
        <v>2037</v>
      </c>
      <c r="AH60" s="13">
        <f t="shared" si="15"/>
        <v>2038</v>
      </c>
      <c r="AI60" s="13">
        <f t="shared" si="15"/>
        <v>2039</v>
      </c>
      <c r="AJ60" s="13">
        <f t="shared" si="15"/>
        <v>2040</v>
      </c>
      <c r="AK60" s="13">
        <f t="shared" si="15"/>
        <v>2041</v>
      </c>
      <c r="AL60" s="13">
        <f t="shared" si="15"/>
        <v>2042</v>
      </c>
      <c r="AM60" s="13">
        <f t="shared" si="15"/>
        <v>2043</v>
      </c>
      <c r="AN60" s="13">
        <f t="shared" si="15"/>
        <v>2044</v>
      </c>
      <c r="AO60" s="13">
        <f t="shared" si="15"/>
        <v>2045</v>
      </c>
      <c r="AP60" s="13">
        <f t="shared" si="15"/>
        <v>2046</v>
      </c>
      <c r="AQ60" s="13">
        <f t="shared" si="15"/>
        <v>2047</v>
      </c>
      <c r="AR60" s="13">
        <f t="shared" si="15"/>
        <v>2048</v>
      </c>
      <c r="AS60" s="13">
        <f t="shared" si="15"/>
        <v>2049</v>
      </c>
      <c r="AT60" s="13">
        <f t="shared" si="15"/>
        <v>2050</v>
      </c>
      <c r="AU60" s="13">
        <f t="shared" si="15"/>
        <v>2051</v>
      </c>
      <c r="AV60" s="13">
        <f t="shared" si="15"/>
        <v>2052</v>
      </c>
      <c r="AW60" s="13">
        <f t="shared" si="15"/>
        <v>2053</v>
      </c>
    </row>
    <row r="61" spans="1:49" s="13" customFormat="1" x14ac:dyDescent="0.25"/>
    <row r="62" spans="1:49" s="13" customFormat="1" x14ac:dyDescent="0.25">
      <c r="A62" s="12" t="s">
        <v>90</v>
      </c>
      <c r="T62" s="13">
        <v>477</v>
      </c>
      <c r="U62" s="13">
        <v>692</v>
      </c>
      <c r="V62" s="13">
        <v>1377</v>
      </c>
      <c r="W62" s="13">
        <v>1133</v>
      </c>
      <c r="X62" s="13">
        <v>1099</v>
      </c>
      <c r="Y62" s="13">
        <v>1109</v>
      </c>
      <c r="Z62" s="13">
        <v>937</v>
      </c>
      <c r="AA62" s="13">
        <v>838</v>
      </c>
      <c r="AB62" s="13">
        <v>801</v>
      </c>
      <c r="AC62" s="13">
        <v>763</v>
      </c>
      <c r="AD62" s="13">
        <v>726</v>
      </c>
      <c r="AE62" s="13">
        <v>942</v>
      </c>
      <c r="AF62" s="13">
        <v>1043</v>
      </c>
      <c r="AG62" s="13">
        <v>516</v>
      </c>
    </row>
    <row r="63" spans="1:49" s="13" customFormat="1" x14ac:dyDescent="0.25">
      <c r="A63" s="13" t="s">
        <v>91</v>
      </c>
      <c r="B63" s="13">
        <f>C66+C68+C70+C72+C74+C76+C78+C80+C82+C84+C86+C88+C90+C92+C94</f>
        <v>13278</v>
      </c>
    </row>
    <row r="64" spans="1:49" s="13" customFormat="1" x14ac:dyDescent="0.25"/>
    <row r="65" spans="1:33" s="13" customFormat="1" x14ac:dyDescent="0.25">
      <c r="B65" s="13" t="s">
        <v>92</v>
      </c>
      <c r="C65" s="13" t="s">
        <v>93</v>
      </c>
      <c r="D65" s="13" t="s">
        <v>94</v>
      </c>
      <c r="E65" s="13" t="s">
        <v>36</v>
      </c>
      <c r="F65" s="13" t="s">
        <v>95</v>
      </c>
      <c r="H65" s="13" t="s">
        <v>96</v>
      </c>
      <c r="I65" s="13" t="s">
        <v>97</v>
      </c>
    </row>
    <row r="66" spans="1:33" s="13" customFormat="1" x14ac:dyDescent="0.25">
      <c r="A66" s="13" t="s">
        <v>98</v>
      </c>
      <c r="B66" s="23" t="s">
        <v>99</v>
      </c>
      <c r="C66" s="13">
        <v>253</v>
      </c>
      <c r="D66" s="13">
        <v>7.875</v>
      </c>
      <c r="E66" s="13">
        <v>2013</v>
      </c>
      <c r="F66" s="13">
        <f>C66/B63</f>
        <v>1.9054074408796504E-2</v>
      </c>
      <c r="H66" s="13">
        <v>3.5000000000000003E-2</v>
      </c>
      <c r="I66" s="13">
        <f>C66*0.9915</f>
        <v>250.84950000000001</v>
      </c>
      <c r="J66" s="13">
        <f>C66*(D66/100)</f>
        <v>19.923750000000002</v>
      </c>
      <c r="K66" s="13">
        <f>J66</f>
        <v>19.923750000000002</v>
      </c>
      <c r="L66" s="13">
        <f t="shared" ref="L66:R66" si="16">K66</f>
        <v>19.923750000000002</v>
      </c>
      <c r="M66" s="13">
        <f t="shared" si="16"/>
        <v>19.923750000000002</v>
      </c>
      <c r="N66" s="13">
        <f t="shared" si="16"/>
        <v>19.923750000000002</v>
      </c>
      <c r="O66" s="13">
        <f t="shared" si="16"/>
        <v>19.923750000000002</v>
      </c>
      <c r="P66" s="13">
        <f t="shared" si="16"/>
        <v>19.923750000000002</v>
      </c>
      <c r="Q66" s="13">
        <f t="shared" si="16"/>
        <v>19.923750000000002</v>
      </c>
      <c r="R66" s="13">
        <f t="shared" si="16"/>
        <v>19.923750000000002</v>
      </c>
      <c r="S66" s="13">
        <v>0</v>
      </c>
      <c r="T66" s="13">
        <f t="shared" ref="T66:AG66" si="17">T62*0.019054</f>
        <v>9.0887580000000003</v>
      </c>
      <c r="U66" s="13">
        <f t="shared" si="17"/>
        <v>13.185368</v>
      </c>
      <c r="V66" s="13">
        <f t="shared" si="17"/>
        <v>26.237358</v>
      </c>
      <c r="W66" s="13">
        <f t="shared" si="17"/>
        <v>21.588182000000003</v>
      </c>
      <c r="X66" s="13">
        <f t="shared" si="17"/>
        <v>20.940346000000002</v>
      </c>
      <c r="Y66" s="13">
        <f t="shared" si="17"/>
        <v>21.130886</v>
      </c>
      <c r="Z66" s="13">
        <f t="shared" si="17"/>
        <v>17.853598000000002</v>
      </c>
      <c r="AA66" s="13">
        <f t="shared" si="17"/>
        <v>15.967252000000002</v>
      </c>
      <c r="AB66" s="13">
        <f t="shared" si="17"/>
        <v>15.262254</v>
      </c>
      <c r="AC66" s="13">
        <f t="shared" si="17"/>
        <v>14.538202000000002</v>
      </c>
      <c r="AD66" s="13">
        <f t="shared" si="17"/>
        <v>13.833204</v>
      </c>
      <c r="AE66" s="13">
        <f t="shared" si="17"/>
        <v>17.948868000000001</v>
      </c>
      <c r="AF66" s="13">
        <f t="shared" si="17"/>
        <v>19.873322000000002</v>
      </c>
      <c r="AG66" s="13">
        <f t="shared" si="17"/>
        <v>9.8318640000000013</v>
      </c>
    </row>
    <row r="67" spans="1:33" s="13" customFormat="1" x14ac:dyDescent="0.25">
      <c r="A67" s="13" t="s">
        <v>100</v>
      </c>
      <c r="B67" s="14">
        <f>NPV(H66,J66:AG66)</f>
        <v>283.5646138946916</v>
      </c>
    </row>
    <row r="68" spans="1:33" s="13" customFormat="1" x14ac:dyDescent="0.25">
      <c r="A68" s="13" t="s">
        <v>101</v>
      </c>
      <c r="B68" s="24" t="s">
        <v>102</v>
      </c>
      <c r="C68" s="13">
        <v>525</v>
      </c>
      <c r="D68" s="13">
        <v>0</v>
      </c>
      <c r="E68" s="13">
        <v>2021</v>
      </c>
      <c r="F68" s="13">
        <f>C68/B63</f>
        <v>3.9539087211929509E-2</v>
      </c>
      <c r="H68" s="13">
        <v>1.9E-2</v>
      </c>
      <c r="I68" s="13">
        <v>425</v>
      </c>
      <c r="R68" s="13">
        <v>0</v>
      </c>
      <c r="S68" s="13">
        <v>0</v>
      </c>
      <c r="T68" s="13">
        <f t="shared" ref="T68:AG68" si="18">T62*0.039539</f>
        <v>18.860102999999999</v>
      </c>
      <c r="U68" s="13">
        <f t="shared" si="18"/>
        <v>27.360987999999999</v>
      </c>
      <c r="V68" s="13">
        <f t="shared" si="18"/>
        <v>54.445202999999999</v>
      </c>
      <c r="W68" s="13">
        <f t="shared" si="18"/>
        <v>44.797686999999996</v>
      </c>
      <c r="X68" s="13">
        <f t="shared" si="18"/>
        <v>43.453361000000001</v>
      </c>
      <c r="Y68" s="13">
        <f t="shared" si="18"/>
        <v>43.848751</v>
      </c>
      <c r="Z68" s="13">
        <f t="shared" si="18"/>
        <v>37.048043</v>
      </c>
      <c r="AA68" s="13">
        <f t="shared" si="18"/>
        <v>33.133682</v>
      </c>
      <c r="AB68" s="13">
        <f t="shared" si="18"/>
        <v>31.670738999999998</v>
      </c>
      <c r="AC68" s="13">
        <f t="shared" si="18"/>
        <v>30.168256999999997</v>
      </c>
      <c r="AD68" s="13">
        <f t="shared" si="18"/>
        <v>28.705313999999998</v>
      </c>
      <c r="AE68" s="13">
        <f t="shared" si="18"/>
        <v>37.245737999999996</v>
      </c>
      <c r="AF68" s="13">
        <f t="shared" si="18"/>
        <v>41.239176999999998</v>
      </c>
      <c r="AG68" s="13">
        <f t="shared" si="18"/>
        <v>20.402124000000001</v>
      </c>
    </row>
    <row r="69" spans="1:33" s="13" customFormat="1" x14ac:dyDescent="0.25">
      <c r="A69" s="13" t="s">
        <v>103</v>
      </c>
      <c r="B69" s="14">
        <f>NPV(H68,R68:AG68)</f>
        <v>414.4054341963452</v>
      </c>
    </row>
    <row r="70" spans="1:33" s="13" customFormat="1" x14ac:dyDescent="0.25">
      <c r="A70" s="13" t="s">
        <v>104</v>
      </c>
      <c r="B70" s="23" t="s">
        <v>105</v>
      </c>
      <c r="C70" s="13">
        <v>1000</v>
      </c>
      <c r="D70" s="13">
        <v>8.125</v>
      </c>
      <c r="E70" s="13">
        <v>2014</v>
      </c>
      <c r="F70" s="13">
        <f>C70/B63</f>
        <v>7.531254707034192E-2</v>
      </c>
      <c r="H70" s="13">
        <v>0.03</v>
      </c>
      <c r="I70" s="13">
        <f>C70*0.9916</f>
        <v>991.6</v>
      </c>
      <c r="K70" s="13">
        <f>C70*(D70/100)</f>
        <v>81.25</v>
      </c>
      <c r="L70" s="13">
        <f>K70</f>
        <v>81.25</v>
      </c>
      <c r="M70" s="13">
        <f t="shared" ref="M70:R70" si="19">L70</f>
        <v>81.25</v>
      </c>
      <c r="N70" s="13">
        <f t="shared" si="19"/>
        <v>81.25</v>
      </c>
      <c r="O70" s="13">
        <f t="shared" si="19"/>
        <v>81.25</v>
      </c>
      <c r="P70" s="13">
        <f t="shared" si="19"/>
        <v>81.25</v>
      </c>
      <c r="Q70" s="13">
        <f t="shared" si="19"/>
        <v>81.25</v>
      </c>
      <c r="R70" s="13">
        <f t="shared" si="19"/>
        <v>81.25</v>
      </c>
      <c r="S70" s="13">
        <v>0</v>
      </c>
      <c r="T70" s="13">
        <f t="shared" ref="T70:AG70" si="20">T62*0.075313</f>
        <v>35.924301</v>
      </c>
      <c r="U70" s="13">
        <f t="shared" si="20"/>
        <v>52.116596000000001</v>
      </c>
      <c r="V70" s="13">
        <f t="shared" si="20"/>
        <v>103.706001</v>
      </c>
      <c r="W70" s="13">
        <f t="shared" si="20"/>
        <v>85.329629000000011</v>
      </c>
      <c r="X70" s="13">
        <f t="shared" si="20"/>
        <v>82.76898700000001</v>
      </c>
      <c r="Y70" s="13">
        <f t="shared" si="20"/>
        <v>83.522117000000009</v>
      </c>
      <c r="Z70" s="13">
        <f t="shared" si="20"/>
        <v>70.568280999999999</v>
      </c>
      <c r="AA70" s="13">
        <f t="shared" si="20"/>
        <v>63.112294000000006</v>
      </c>
      <c r="AB70" s="13">
        <f t="shared" si="20"/>
        <v>60.325713000000007</v>
      </c>
      <c r="AC70" s="13">
        <f t="shared" si="20"/>
        <v>57.463819000000001</v>
      </c>
      <c r="AD70" s="13">
        <f t="shared" si="20"/>
        <v>54.677238000000003</v>
      </c>
      <c r="AE70" s="13">
        <f t="shared" si="20"/>
        <v>70.944845999999998</v>
      </c>
      <c r="AF70" s="13">
        <f t="shared" si="20"/>
        <v>78.551459000000008</v>
      </c>
      <c r="AG70" s="13">
        <f t="shared" si="20"/>
        <v>38.861508000000001</v>
      </c>
    </row>
    <row r="71" spans="1:33" s="13" customFormat="1" x14ac:dyDescent="0.25">
      <c r="A71" s="13" t="s">
        <v>106</v>
      </c>
      <c r="B71" s="14">
        <f>NPV(H70,K70:AG70)</f>
        <v>1153.3651709194253</v>
      </c>
    </row>
    <row r="72" spans="1:33" s="13" customFormat="1" x14ac:dyDescent="0.25">
      <c r="A72" s="13" t="s">
        <v>107</v>
      </c>
      <c r="B72" s="23" t="s">
        <v>108</v>
      </c>
      <c r="C72" s="13">
        <v>1250</v>
      </c>
      <c r="D72" s="13">
        <v>6.375</v>
      </c>
      <c r="E72" s="13">
        <v>2020</v>
      </c>
      <c r="F72" s="13">
        <f>C72/B63</f>
        <v>9.4140683837927397E-2</v>
      </c>
      <c r="H72" s="13">
        <v>1.7999999999999999E-2</v>
      </c>
      <c r="I72" s="13">
        <f>C72</f>
        <v>1250</v>
      </c>
      <c r="P72" s="13">
        <f>(C72*(D72/100))/2</f>
        <v>39.84375</v>
      </c>
      <c r="Q72" s="13">
        <f>C72*(D72/100)</f>
        <v>79.6875</v>
      </c>
      <c r="R72" s="13">
        <f>Q72</f>
        <v>79.6875</v>
      </c>
      <c r="S72" s="13">
        <v>0</v>
      </c>
      <c r="T72" s="13">
        <f t="shared" ref="T72:AG72" si="21">T62*0.094141</f>
        <v>44.905256999999999</v>
      </c>
      <c r="U72" s="13">
        <f t="shared" si="21"/>
        <v>65.145572000000001</v>
      </c>
      <c r="V72" s="13">
        <f t="shared" si="21"/>
        <v>129.63215700000001</v>
      </c>
      <c r="W72" s="13">
        <f t="shared" si="21"/>
        <v>106.661753</v>
      </c>
      <c r="X72" s="13">
        <f t="shared" si="21"/>
        <v>103.460959</v>
      </c>
      <c r="Y72" s="13">
        <f t="shared" si="21"/>
        <v>104.40236900000001</v>
      </c>
      <c r="Z72" s="13">
        <f t="shared" si="21"/>
        <v>88.210116999999997</v>
      </c>
      <c r="AA72" s="13">
        <f t="shared" si="21"/>
        <v>78.890158</v>
      </c>
      <c r="AB72" s="13">
        <f t="shared" si="21"/>
        <v>75.406941000000003</v>
      </c>
      <c r="AC72" s="13">
        <f t="shared" si="21"/>
        <v>71.829583</v>
      </c>
      <c r="AD72" s="13">
        <f t="shared" si="21"/>
        <v>68.346366000000003</v>
      </c>
      <c r="AE72" s="13">
        <f t="shared" si="21"/>
        <v>88.680822000000006</v>
      </c>
      <c r="AF72" s="13">
        <f t="shared" si="21"/>
        <v>98.189063000000004</v>
      </c>
      <c r="AG72" s="13">
        <f t="shared" si="21"/>
        <v>48.576756000000003</v>
      </c>
    </row>
    <row r="73" spans="1:33" s="13" customFormat="1" x14ac:dyDescent="0.25">
      <c r="A73" s="13" t="s">
        <v>106</v>
      </c>
      <c r="B73" s="14">
        <f>NPV(H72,P72:AG72)</f>
        <v>1152.1501846893154</v>
      </c>
    </row>
    <row r="74" spans="1:33" s="13" customFormat="1" x14ac:dyDescent="0.25">
      <c r="A74" s="13" t="s">
        <v>109</v>
      </c>
      <c r="B74" s="23" t="s">
        <v>110</v>
      </c>
      <c r="C74" s="13">
        <v>750</v>
      </c>
      <c r="D74" s="13">
        <v>7.875</v>
      </c>
      <c r="E74" s="13">
        <v>2019</v>
      </c>
      <c r="F74" s="13">
        <f>C74/B63</f>
        <v>5.6484410302756437E-2</v>
      </c>
      <c r="H74" s="13">
        <v>2.7E-2</v>
      </c>
      <c r="I74" s="13">
        <f>C74*0.9997</f>
        <v>749.77499999999998</v>
      </c>
      <c r="O74" s="13">
        <f>(C74*(D74/100))/2</f>
        <v>29.53125</v>
      </c>
      <c r="P74" s="13">
        <f>C74*(D74/100)</f>
        <v>59.0625</v>
      </c>
      <c r="Q74" s="13">
        <f>P74</f>
        <v>59.0625</v>
      </c>
      <c r="R74" s="13">
        <f>Q74</f>
        <v>59.0625</v>
      </c>
      <c r="S74" s="13">
        <v>0</v>
      </c>
      <c r="T74" s="13">
        <f t="shared" ref="T74:AG74" si="22">T62*0.056484</f>
        <v>26.942868000000001</v>
      </c>
      <c r="U74" s="13">
        <f t="shared" si="22"/>
        <v>39.086928</v>
      </c>
      <c r="V74" s="13">
        <f t="shared" si="22"/>
        <v>77.778468000000004</v>
      </c>
      <c r="W74" s="13">
        <f t="shared" si="22"/>
        <v>63.996372000000001</v>
      </c>
      <c r="X74" s="13">
        <f t="shared" si="22"/>
        <v>62.075915999999999</v>
      </c>
      <c r="Y74" s="13">
        <f t="shared" si="22"/>
        <v>62.640755999999996</v>
      </c>
      <c r="Z74" s="13">
        <f t="shared" si="22"/>
        <v>52.925508000000001</v>
      </c>
      <c r="AA74" s="13">
        <f t="shared" si="22"/>
        <v>47.333592000000003</v>
      </c>
      <c r="AB74" s="13">
        <f t="shared" si="22"/>
        <v>45.243684000000002</v>
      </c>
      <c r="AC74" s="13">
        <f t="shared" si="22"/>
        <v>43.097292000000003</v>
      </c>
      <c r="AD74" s="13">
        <f t="shared" si="22"/>
        <v>41.007384000000002</v>
      </c>
      <c r="AE74" s="13">
        <f t="shared" si="22"/>
        <v>53.207928000000003</v>
      </c>
      <c r="AF74" s="13">
        <f t="shared" si="22"/>
        <v>58.912812000000002</v>
      </c>
      <c r="AG74" s="13">
        <f t="shared" si="22"/>
        <v>29.145744000000001</v>
      </c>
    </row>
    <row r="75" spans="1:33" s="13" customFormat="1" x14ac:dyDescent="0.25">
      <c r="A75" s="13" t="s">
        <v>106</v>
      </c>
      <c r="B75" s="14">
        <f>NPV(H74,O74:AG74)</f>
        <v>701.87823345390132</v>
      </c>
    </row>
    <row r="76" spans="1:33" s="13" customFormat="1" x14ac:dyDescent="0.25">
      <c r="A76" s="13" t="s">
        <v>111</v>
      </c>
      <c r="B76" s="25" t="s">
        <v>112</v>
      </c>
      <c r="C76" s="13">
        <v>1000</v>
      </c>
      <c r="D76" s="13">
        <v>7.75</v>
      </c>
      <c r="E76" s="13">
        <v>2021</v>
      </c>
      <c r="F76" s="13">
        <f>C76/B63</f>
        <v>7.531254707034192E-2</v>
      </c>
      <c r="H76" s="13">
        <v>0.02</v>
      </c>
      <c r="I76" s="13">
        <f>C76</f>
        <v>1000</v>
      </c>
      <c r="Q76" s="13">
        <f>(C76*(D76/100))/2</f>
        <v>38.75</v>
      </c>
      <c r="R76" s="13">
        <f>C76*(D76/100)</f>
        <v>77.5</v>
      </c>
      <c r="S76" s="13">
        <v>0</v>
      </c>
      <c r="T76" s="13">
        <f t="shared" ref="T76:AG76" si="23">T62*0.075313</f>
        <v>35.924301</v>
      </c>
      <c r="U76" s="13">
        <f t="shared" si="23"/>
        <v>52.116596000000001</v>
      </c>
      <c r="V76" s="13">
        <f t="shared" si="23"/>
        <v>103.706001</v>
      </c>
      <c r="W76" s="13">
        <f t="shared" si="23"/>
        <v>85.329629000000011</v>
      </c>
      <c r="X76" s="13">
        <f t="shared" si="23"/>
        <v>82.76898700000001</v>
      </c>
      <c r="Y76" s="13">
        <f t="shared" si="23"/>
        <v>83.522117000000009</v>
      </c>
      <c r="Z76" s="13">
        <f t="shared" si="23"/>
        <v>70.568280999999999</v>
      </c>
      <c r="AA76" s="13">
        <f t="shared" si="23"/>
        <v>63.112294000000006</v>
      </c>
      <c r="AB76" s="13">
        <f t="shared" si="23"/>
        <v>60.325713000000007</v>
      </c>
      <c r="AC76" s="13">
        <f t="shared" si="23"/>
        <v>57.463819000000001</v>
      </c>
      <c r="AD76" s="13">
        <f t="shared" si="23"/>
        <v>54.677238000000003</v>
      </c>
      <c r="AE76" s="13">
        <f t="shared" si="23"/>
        <v>70.944845999999998</v>
      </c>
      <c r="AF76" s="13">
        <f t="shared" si="23"/>
        <v>78.551459000000008</v>
      </c>
      <c r="AG76" s="13">
        <f t="shared" si="23"/>
        <v>38.861508000000001</v>
      </c>
    </row>
    <row r="77" spans="1:33" s="13" customFormat="1" x14ac:dyDescent="0.25">
      <c r="A77" s="13" t="s">
        <v>106</v>
      </c>
      <c r="B77" s="14">
        <f>NPV(H76,Q76:AG76)</f>
        <v>879.53829038122296</v>
      </c>
    </row>
    <row r="78" spans="1:33" s="13" customFormat="1" x14ac:dyDescent="0.25">
      <c r="A78" s="13" t="s">
        <v>113</v>
      </c>
      <c r="B78" s="23" t="s">
        <v>114</v>
      </c>
      <c r="C78" s="13">
        <v>1000</v>
      </c>
      <c r="D78" s="13">
        <v>7.625</v>
      </c>
      <c r="E78" s="13">
        <v>2018</v>
      </c>
      <c r="F78" s="13">
        <f>C78/B63</f>
        <v>7.531254707034192E-2</v>
      </c>
      <c r="H78" s="13">
        <v>3.2000000000000001E-2</v>
      </c>
      <c r="I78" s="13">
        <f>C78</f>
        <v>1000</v>
      </c>
      <c r="N78" s="13">
        <f>(C78*(D78/100))/2</f>
        <v>38.125</v>
      </c>
      <c r="O78" s="13">
        <f>C78*(D78/100)</f>
        <v>76.25</v>
      </c>
      <c r="P78" s="13">
        <f>O78</f>
        <v>76.25</v>
      </c>
      <c r="Q78" s="13">
        <f t="shared" ref="Q78:R78" si="24">P78</f>
        <v>76.25</v>
      </c>
      <c r="R78" s="13">
        <f t="shared" si="24"/>
        <v>76.25</v>
      </c>
      <c r="S78" s="13">
        <v>0</v>
      </c>
      <c r="T78" s="13">
        <f t="shared" ref="T78:AG78" si="25">T62*0.075313</f>
        <v>35.924301</v>
      </c>
      <c r="U78" s="13">
        <f t="shared" si="25"/>
        <v>52.116596000000001</v>
      </c>
      <c r="V78" s="13">
        <f t="shared" si="25"/>
        <v>103.706001</v>
      </c>
      <c r="W78" s="13">
        <f t="shared" si="25"/>
        <v>85.329629000000011</v>
      </c>
      <c r="X78" s="13">
        <f t="shared" si="25"/>
        <v>82.76898700000001</v>
      </c>
      <c r="Y78" s="13">
        <f t="shared" si="25"/>
        <v>83.522117000000009</v>
      </c>
      <c r="Z78" s="13">
        <f t="shared" si="25"/>
        <v>70.568280999999999</v>
      </c>
      <c r="AA78" s="13">
        <f t="shared" si="25"/>
        <v>63.112294000000006</v>
      </c>
      <c r="AB78" s="13">
        <f t="shared" si="25"/>
        <v>60.325713000000007</v>
      </c>
      <c r="AC78" s="13">
        <f t="shared" si="25"/>
        <v>57.463819000000001</v>
      </c>
      <c r="AD78" s="13">
        <f t="shared" si="25"/>
        <v>54.677238000000003</v>
      </c>
      <c r="AE78" s="13">
        <f t="shared" si="25"/>
        <v>70.944845999999998</v>
      </c>
      <c r="AF78" s="13">
        <f t="shared" si="25"/>
        <v>78.551459000000008</v>
      </c>
      <c r="AG78" s="13">
        <f t="shared" si="25"/>
        <v>38.861508000000001</v>
      </c>
    </row>
    <row r="79" spans="1:33" s="13" customFormat="1" x14ac:dyDescent="0.25">
      <c r="A79" s="13" t="s">
        <v>106</v>
      </c>
      <c r="B79" s="14">
        <f>NPV(H78,N78:AG78)</f>
        <v>931.65542262751921</v>
      </c>
    </row>
    <row r="80" spans="1:33" s="13" customFormat="1" x14ac:dyDescent="0.25">
      <c r="A80" s="13" t="s">
        <v>115</v>
      </c>
      <c r="B80" s="23" t="s">
        <v>116</v>
      </c>
      <c r="C80" s="13">
        <v>1000</v>
      </c>
      <c r="D80" s="13">
        <v>10.75</v>
      </c>
      <c r="E80" s="13">
        <v>2015</v>
      </c>
      <c r="F80" s="13">
        <f>C80/B63</f>
        <v>7.531254707034192E-2</v>
      </c>
      <c r="H80" s="13">
        <v>2.4E-2</v>
      </c>
      <c r="I80" s="13">
        <f>C80</f>
        <v>1000</v>
      </c>
      <c r="L80" s="13">
        <f>C80*(D80/100)</f>
        <v>107.5</v>
      </c>
      <c r="M80" s="13">
        <f>L80</f>
        <v>107.5</v>
      </c>
      <c r="N80" s="13">
        <f t="shared" ref="N80:R80" si="26">M80</f>
        <v>107.5</v>
      </c>
      <c r="O80" s="13">
        <f t="shared" si="26"/>
        <v>107.5</v>
      </c>
      <c r="P80" s="13">
        <f t="shared" si="26"/>
        <v>107.5</v>
      </c>
      <c r="Q80" s="13">
        <f t="shared" si="26"/>
        <v>107.5</v>
      </c>
      <c r="R80" s="13">
        <f t="shared" si="26"/>
        <v>107.5</v>
      </c>
      <c r="S80" s="13">
        <f>R80</f>
        <v>107.5</v>
      </c>
      <c r="T80" s="13">
        <f>107.5+(T62*0.075313)</f>
        <v>143.42430100000001</v>
      </c>
      <c r="U80" s="13">
        <f>107.5+(U62*0.075313)</f>
        <v>159.61659600000002</v>
      </c>
      <c r="V80" s="13">
        <f>(400-(107.5*3))+(V62*0.075313)</f>
        <v>181.20600100000001</v>
      </c>
      <c r="W80" s="13">
        <f t="shared" ref="W80:AG80" si="27">W62*0.075313</f>
        <v>85.329629000000011</v>
      </c>
      <c r="X80" s="13">
        <f t="shared" si="27"/>
        <v>82.76898700000001</v>
      </c>
      <c r="Y80" s="13">
        <f t="shared" si="27"/>
        <v>83.522117000000009</v>
      </c>
      <c r="Z80" s="13">
        <f t="shared" si="27"/>
        <v>70.568280999999999</v>
      </c>
      <c r="AA80" s="13">
        <f t="shared" si="27"/>
        <v>63.112294000000006</v>
      </c>
      <c r="AB80" s="13">
        <f t="shared" si="27"/>
        <v>60.325713000000007</v>
      </c>
      <c r="AC80" s="13">
        <f t="shared" si="27"/>
        <v>57.463819000000001</v>
      </c>
      <c r="AD80" s="13">
        <f t="shared" si="27"/>
        <v>54.677238000000003</v>
      </c>
      <c r="AE80" s="13">
        <f t="shared" si="27"/>
        <v>70.944845999999998</v>
      </c>
      <c r="AF80" s="13">
        <f t="shared" si="27"/>
        <v>78.551459000000008</v>
      </c>
      <c r="AG80" s="13">
        <f t="shared" si="27"/>
        <v>38.861508000000001</v>
      </c>
    </row>
    <row r="81" spans="1:33" s="13" customFormat="1" x14ac:dyDescent="0.25">
      <c r="A81" s="13" t="s">
        <v>117</v>
      </c>
      <c r="B81" s="14">
        <f>NPV(H80,L80:AG80)</f>
        <v>1660.6079798196856</v>
      </c>
    </row>
    <row r="82" spans="1:33" s="13" customFormat="1" x14ac:dyDescent="0.25">
      <c r="A82" s="13" t="s">
        <v>118</v>
      </c>
      <c r="B82" s="23" t="s">
        <v>119</v>
      </c>
      <c r="C82" s="13">
        <v>1250</v>
      </c>
      <c r="D82" s="13">
        <v>8.125</v>
      </c>
      <c r="E82" s="13">
        <v>2019</v>
      </c>
      <c r="F82" s="13">
        <f>C82/B63</f>
        <v>9.4140683837927397E-2</v>
      </c>
      <c r="H82" s="13">
        <v>2.7E-2</v>
      </c>
      <c r="I82" s="13">
        <f>C82*0.9999</f>
        <v>1249.875</v>
      </c>
      <c r="O82" s="13">
        <f>(C82*(D82/100))/2</f>
        <v>50.78125</v>
      </c>
      <c r="P82" s="13">
        <f>C82*(D82/100)</f>
        <v>101.5625</v>
      </c>
      <c r="Q82" s="13">
        <f>P82</f>
        <v>101.5625</v>
      </c>
      <c r="R82" s="13">
        <f>Q82</f>
        <v>101.5625</v>
      </c>
      <c r="S82" s="13">
        <v>0</v>
      </c>
      <c r="T82" s="13">
        <f t="shared" ref="T82:AG82" si="28">T62*0.094141</f>
        <v>44.905256999999999</v>
      </c>
      <c r="U82" s="13">
        <f t="shared" si="28"/>
        <v>65.145572000000001</v>
      </c>
      <c r="V82" s="13">
        <f t="shared" si="28"/>
        <v>129.63215700000001</v>
      </c>
      <c r="W82" s="13">
        <f t="shared" si="28"/>
        <v>106.661753</v>
      </c>
      <c r="X82" s="13">
        <f t="shared" si="28"/>
        <v>103.460959</v>
      </c>
      <c r="Y82" s="13">
        <f t="shared" si="28"/>
        <v>104.40236900000001</v>
      </c>
      <c r="Z82" s="13">
        <f t="shared" si="28"/>
        <v>88.210116999999997</v>
      </c>
      <c r="AA82" s="13">
        <f t="shared" si="28"/>
        <v>78.890158</v>
      </c>
      <c r="AB82" s="13">
        <f t="shared" si="28"/>
        <v>75.406941000000003</v>
      </c>
      <c r="AC82" s="13">
        <f t="shared" si="28"/>
        <v>71.829583</v>
      </c>
      <c r="AD82" s="13">
        <f t="shared" si="28"/>
        <v>68.346366000000003</v>
      </c>
      <c r="AE82" s="13">
        <f t="shared" si="28"/>
        <v>88.680822000000006</v>
      </c>
      <c r="AF82" s="13">
        <f t="shared" si="28"/>
        <v>98.189063000000004</v>
      </c>
      <c r="AG82" s="13">
        <f t="shared" si="28"/>
        <v>48.576756000000003</v>
      </c>
    </row>
    <row r="83" spans="1:33" s="13" customFormat="1" x14ac:dyDescent="0.25">
      <c r="A83" s="13" t="s">
        <v>117</v>
      </c>
      <c r="B83" s="14">
        <f>NPV(H82,O82:AG82)</f>
        <v>1179.9844035800945</v>
      </c>
    </row>
    <row r="84" spans="1:33" s="13" customFormat="1" x14ac:dyDescent="0.25">
      <c r="A84" s="13" t="s">
        <v>120</v>
      </c>
      <c r="B84" s="24" t="s">
        <v>121</v>
      </c>
      <c r="C84" s="13">
        <v>1000</v>
      </c>
      <c r="D84" s="13">
        <v>8.625</v>
      </c>
      <c r="E84" s="13">
        <v>2021</v>
      </c>
      <c r="F84" s="13">
        <f>C84/B63</f>
        <v>7.531254707034192E-2</v>
      </c>
      <c r="H84" s="13">
        <v>1.9E-2</v>
      </c>
      <c r="I84" s="13">
        <f>C84*0.9908</f>
        <v>990.80000000000007</v>
      </c>
      <c r="Q84" s="13">
        <f>(C84*(D84/100))/2</f>
        <v>43.125</v>
      </c>
      <c r="R84" s="13">
        <f>C84*(D84/100)</f>
        <v>86.25</v>
      </c>
      <c r="S84" s="13">
        <v>0</v>
      </c>
      <c r="T84" s="13">
        <f t="shared" ref="T84:AG84" si="29">T62*0.075313</f>
        <v>35.924301</v>
      </c>
      <c r="U84" s="13">
        <f t="shared" si="29"/>
        <v>52.116596000000001</v>
      </c>
      <c r="V84" s="13">
        <f t="shared" si="29"/>
        <v>103.706001</v>
      </c>
      <c r="W84" s="13">
        <f t="shared" si="29"/>
        <v>85.329629000000011</v>
      </c>
      <c r="X84" s="13">
        <f t="shared" si="29"/>
        <v>82.76898700000001</v>
      </c>
      <c r="Y84" s="13">
        <f t="shared" si="29"/>
        <v>83.522117000000009</v>
      </c>
      <c r="Z84" s="13">
        <f t="shared" si="29"/>
        <v>70.568280999999999</v>
      </c>
      <c r="AA84" s="13">
        <f t="shared" si="29"/>
        <v>63.112294000000006</v>
      </c>
      <c r="AB84" s="13">
        <f t="shared" si="29"/>
        <v>60.325713000000007</v>
      </c>
      <c r="AC84" s="13">
        <f t="shared" si="29"/>
        <v>57.463819000000001</v>
      </c>
      <c r="AD84" s="13">
        <f t="shared" si="29"/>
        <v>54.677238000000003</v>
      </c>
      <c r="AE84" s="13">
        <f t="shared" si="29"/>
        <v>70.944845999999998</v>
      </c>
      <c r="AF84" s="13">
        <f t="shared" si="29"/>
        <v>78.551459000000008</v>
      </c>
      <c r="AG84" s="13">
        <f t="shared" si="29"/>
        <v>38.861508000000001</v>
      </c>
    </row>
    <row r="85" spans="1:33" s="13" customFormat="1" x14ac:dyDescent="0.25">
      <c r="A85" s="13" t="s">
        <v>117</v>
      </c>
      <c r="B85" s="14">
        <f>NPV(H84,Q84:AG84)</f>
        <v>900.01666150072379</v>
      </c>
    </row>
    <row r="86" spans="1:33" s="13" customFormat="1" x14ac:dyDescent="0.25">
      <c r="A86" s="13" t="s">
        <v>122</v>
      </c>
      <c r="B86" s="23" t="s">
        <v>123</v>
      </c>
      <c r="C86" s="13">
        <v>1000</v>
      </c>
      <c r="D86" s="13">
        <v>7.875</v>
      </c>
      <c r="E86" s="13">
        <v>2020</v>
      </c>
      <c r="F86" s="13">
        <f>C86/B63</f>
        <v>7.531254707034192E-2</v>
      </c>
      <c r="H86" s="13">
        <v>1.7999999999999999E-2</v>
      </c>
      <c r="I86" s="13">
        <f>C86*0.9896</f>
        <v>989.6</v>
      </c>
      <c r="P86" s="13">
        <f>(C86*(D86/100))/2</f>
        <v>39.375</v>
      </c>
      <c r="Q86" s="13">
        <f>C86*(D86/100)</f>
        <v>78.75</v>
      </c>
      <c r="R86" s="13">
        <f>Q86</f>
        <v>78.75</v>
      </c>
      <c r="S86" s="13">
        <v>0</v>
      </c>
      <c r="T86" s="13">
        <f t="shared" ref="T86:AG86" si="30">T62*0.075313</f>
        <v>35.924301</v>
      </c>
      <c r="U86" s="13">
        <f t="shared" si="30"/>
        <v>52.116596000000001</v>
      </c>
      <c r="V86" s="13">
        <f t="shared" si="30"/>
        <v>103.706001</v>
      </c>
      <c r="W86" s="13">
        <f t="shared" si="30"/>
        <v>85.329629000000011</v>
      </c>
      <c r="X86" s="13">
        <f t="shared" si="30"/>
        <v>82.76898700000001</v>
      </c>
      <c r="Y86" s="13">
        <f t="shared" si="30"/>
        <v>83.522117000000009</v>
      </c>
      <c r="Z86" s="13">
        <f t="shared" si="30"/>
        <v>70.568280999999999</v>
      </c>
      <c r="AA86" s="13">
        <f t="shared" si="30"/>
        <v>63.112294000000006</v>
      </c>
      <c r="AB86" s="13">
        <f t="shared" si="30"/>
        <v>60.325713000000007</v>
      </c>
      <c r="AC86" s="13">
        <f t="shared" si="30"/>
        <v>57.463819000000001</v>
      </c>
      <c r="AD86" s="13">
        <f t="shared" si="30"/>
        <v>54.677238000000003</v>
      </c>
      <c r="AE86" s="13">
        <f t="shared" si="30"/>
        <v>70.944845999999998</v>
      </c>
      <c r="AF86" s="13">
        <f t="shared" si="30"/>
        <v>78.551459000000008</v>
      </c>
      <c r="AG86" s="13">
        <f t="shared" si="30"/>
        <v>38.861508000000001</v>
      </c>
    </row>
    <row r="87" spans="1:33" s="13" customFormat="1" x14ac:dyDescent="0.25">
      <c r="A87" s="13" t="s">
        <v>117</v>
      </c>
      <c r="B87" s="14">
        <f>NPV(H86,P86:AG86)</f>
        <v>957.78212153978552</v>
      </c>
    </row>
    <row r="88" spans="1:33" s="13" customFormat="1" x14ac:dyDescent="0.25">
      <c r="A88" s="13" t="s">
        <v>124</v>
      </c>
      <c r="B88" s="24" t="s">
        <v>125</v>
      </c>
      <c r="C88" s="13">
        <v>500</v>
      </c>
      <c r="D88" s="13">
        <v>8.875</v>
      </c>
      <c r="E88" s="13">
        <v>2021</v>
      </c>
      <c r="F88" s="13">
        <f>C88/B63</f>
        <v>3.765627353517096E-2</v>
      </c>
      <c r="H88" s="13">
        <v>1.9E-2</v>
      </c>
      <c r="I88" s="13">
        <f>C88*0.9659</f>
        <v>482.95</v>
      </c>
      <c r="Q88" s="13">
        <f>(C88*(D88/100))/2</f>
        <v>22.1875</v>
      </c>
      <c r="R88" s="13">
        <f>C88*(D88/100)</f>
        <v>44.375</v>
      </c>
      <c r="S88" s="13">
        <v>0</v>
      </c>
      <c r="T88" s="13">
        <f t="shared" ref="T88:AG88" si="31">T62*0.037656</f>
        <v>17.961912000000002</v>
      </c>
      <c r="U88" s="13">
        <f t="shared" si="31"/>
        <v>26.057952</v>
      </c>
      <c r="V88" s="13">
        <f t="shared" si="31"/>
        <v>51.852312000000005</v>
      </c>
      <c r="W88" s="13">
        <f t="shared" si="31"/>
        <v>42.664248000000001</v>
      </c>
      <c r="X88" s="13">
        <f t="shared" si="31"/>
        <v>41.383944</v>
      </c>
      <c r="Y88" s="13">
        <f t="shared" si="31"/>
        <v>41.760504000000005</v>
      </c>
      <c r="Z88" s="13">
        <f t="shared" si="31"/>
        <v>35.283672000000003</v>
      </c>
      <c r="AA88" s="13">
        <f t="shared" si="31"/>
        <v>31.555728000000002</v>
      </c>
      <c r="AB88" s="13">
        <f t="shared" si="31"/>
        <v>30.162456000000002</v>
      </c>
      <c r="AC88" s="13">
        <f t="shared" si="31"/>
        <v>28.731528000000001</v>
      </c>
      <c r="AD88" s="13">
        <f t="shared" si="31"/>
        <v>27.338256000000001</v>
      </c>
      <c r="AE88" s="13">
        <f t="shared" si="31"/>
        <v>35.471952000000002</v>
      </c>
      <c r="AF88" s="13">
        <f t="shared" si="31"/>
        <v>39.275207999999999</v>
      </c>
      <c r="AG88" s="13">
        <f t="shared" si="31"/>
        <v>19.430496000000002</v>
      </c>
    </row>
    <row r="89" spans="1:33" s="13" customFormat="1" x14ac:dyDescent="0.25">
      <c r="A89" s="13" t="s">
        <v>117</v>
      </c>
      <c r="B89" s="14">
        <f>NPV(H88,Q88:AG88)</f>
        <v>451.82035466776688</v>
      </c>
    </row>
    <row r="90" spans="1:33" s="13" customFormat="1" x14ac:dyDescent="0.25">
      <c r="A90" s="13" t="s">
        <v>126</v>
      </c>
      <c r="B90" s="23" t="s">
        <v>127</v>
      </c>
      <c r="C90" s="13">
        <v>1000</v>
      </c>
      <c r="D90" s="13">
        <v>8.6270000000000007</v>
      </c>
      <c r="E90" s="13">
        <v>2018</v>
      </c>
      <c r="F90" s="13">
        <f>C90/B63</f>
        <v>7.531254707034192E-2</v>
      </c>
      <c r="H90" s="13">
        <v>3.2000000000000001E-2</v>
      </c>
      <c r="I90" s="13">
        <f>C90</f>
        <v>1000</v>
      </c>
      <c r="N90" s="13">
        <f>(C90*(D90/100))/2</f>
        <v>43.135000000000005</v>
      </c>
      <c r="O90" s="13">
        <f>C90*(D90/100)</f>
        <v>86.27000000000001</v>
      </c>
      <c r="P90" s="13">
        <f>O90</f>
        <v>86.27000000000001</v>
      </c>
      <c r="Q90" s="13">
        <f t="shared" ref="Q90:R90" si="32">P90</f>
        <v>86.27000000000001</v>
      </c>
      <c r="R90" s="13">
        <f t="shared" si="32"/>
        <v>86.27000000000001</v>
      </c>
      <c r="S90" s="13">
        <v>0</v>
      </c>
      <c r="T90" s="13">
        <f t="shared" ref="T90:AG90" si="33">T62*0.075313</f>
        <v>35.924301</v>
      </c>
      <c r="U90" s="13">
        <f t="shared" si="33"/>
        <v>52.116596000000001</v>
      </c>
      <c r="V90" s="13">
        <f t="shared" si="33"/>
        <v>103.706001</v>
      </c>
      <c r="W90" s="13">
        <f t="shared" si="33"/>
        <v>85.329629000000011</v>
      </c>
      <c r="X90" s="13">
        <f t="shared" si="33"/>
        <v>82.76898700000001</v>
      </c>
      <c r="Y90" s="13">
        <f t="shared" si="33"/>
        <v>83.522117000000009</v>
      </c>
      <c r="Z90" s="13">
        <f t="shared" si="33"/>
        <v>70.568280999999999</v>
      </c>
      <c r="AA90" s="13">
        <f t="shared" si="33"/>
        <v>63.112294000000006</v>
      </c>
      <c r="AB90" s="13">
        <f t="shared" si="33"/>
        <v>60.325713000000007</v>
      </c>
      <c r="AC90" s="13">
        <f t="shared" si="33"/>
        <v>57.463819000000001</v>
      </c>
      <c r="AD90" s="13">
        <f t="shared" si="33"/>
        <v>54.677238000000003</v>
      </c>
      <c r="AE90" s="13">
        <f t="shared" si="33"/>
        <v>70.944845999999998</v>
      </c>
      <c r="AF90" s="13">
        <f t="shared" si="33"/>
        <v>78.551459000000008</v>
      </c>
      <c r="AG90" s="13">
        <f t="shared" si="33"/>
        <v>38.861508000000001</v>
      </c>
    </row>
    <row r="91" spans="1:33" s="13" customFormat="1" x14ac:dyDescent="0.25">
      <c r="A91" s="13" t="s">
        <v>117</v>
      </c>
      <c r="B91" s="14">
        <f>NPV(H90,N90:AG90)</f>
        <v>972.42856142001745</v>
      </c>
    </row>
    <row r="92" spans="1:33" s="13" customFormat="1" x14ac:dyDescent="0.25">
      <c r="A92" s="13" t="s">
        <v>128</v>
      </c>
      <c r="B92" s="23" t="s">
        <v>129</v>
      </c>
      <c r="C92" s="13">
        <v>1000</v>
      </c>
      <c r="D92" s="13">
        <v>8.9499999999999993</v>
      </c>
      <c r="E92" s="13">
        <v>2019</v>
      </c>
      <c r="F92" s="13">
        <f>C92/B63</f>
        <v>7.531254707034192E-2</v>
      </c>
      <c r="H92" s="13">
        <v>2.5000000000000001E-2</v>
      </c>
      <c r="I92" s="13">
        <f>C92</f>
        <v>1000</v>
      </c>
      <c r="O92" s="13">
        <f>(C92*(D92/100))/2</f>
        <v>44.75</v>
      </c>
      <c r="P92" s="13">
        <f>C92*(D92/100)</f>
        <v>89.5</v>
      </c>
      <c r="Q92" s="13">
        <f>P92</f>
        <v>89.5</v>
      </c>
      <c r="R92" s="13">
        <f>Q92</f>
        <v>89.5</v>
      </c>
      <c r="S92" s="13">
        <v>0</v>
      </c>
      <c r="T92" s="13">
        <f t="shared" ref="T92:AG92" si="34">T62*0.075313</f>
        <v>35.924301</v>
      </c>
      <c r="U92" s="13">
        <f t="shared" si="34"/>
        <v>52.116596000000001</v>
      </c>
      <c r="V92" s="13">
        <f t="shared" si="34"/>
        <v>103.706001</v>
      </c>
      <c r="W92" s="13">
        <f t="shared" si="34"/>
        <v>85.329629000000011</v>
      </c>
      <c r="X92" s="13">
        <f t="shared" si="34"/>
        <v>82.76898700000001</v>
      </c>
      <c r="Y92" s="13">
        <f t="shared" si="34"/>
        <v>83.522117000000009</v>
      </c>
      <c r="Z92" s="13">
        <f t="shared" si="34"/>
        <v>70.568280999999999</v>
      </c>
      <c r="AA92" s="13">
        <f t="shared" si="34"/>
        <v>63.112294000000006</v>
      </c>
      <c r="AB92" s="13">
        <f t="shared" si="34"/>
        <v>60.325713000000007</v>
      </c>
      <c r="AC92" s="13">
        <f t="shared" si="34"/>
        <v>57.463819000000001</v>
      </c>
      <c r="AD92" s="13">
        <f t="shared" si="34"/>
        <v>54.677238000000003</v>
      </c>
      <c r="AE92" s="13">
        <f t="shared" si="34"/>
        <v>70.944845999999998</v>
      </c>
      <c r="AF92" s="13">
        <f t="shared" si="34"/>
        <v>78.551459000000008</v>
      </c>
      <c r="AG92" s="13">
        <f t="shared" si="34"/>
        <v>38.861508000000001</v>
      </c>
    </row>
    <row r="93" spans="1:33" s="13" customFormat="1" x14ac:dyDescent="0.25">
      <c r="A93" s="13" t="s">
        <v>117</v>
      </c>
      <c r="B93" s="14">
        <f>NPV(H92,O92:AG92)</f>
        <v>988.37195339722052</v>
      </c>
    </row>
    <row r="94" spans="1:33" s="13" customFormat="1" x14ac:dyDescent="0.25">
      <c r="A94" s="13" t="s">
        <v>130</v>
      </c>
      <c r="B94" s="23" t="s">
        <v>131</v>
      </c>
      <c r="C94" s="13">
        <v>750</v>
      </c>
      <c r="D94" s="13">
        <v>8.75</v>
      </c>
      <c r="E94" s="13">
        <v>2020</v>
      </c>
      <c r="F94" s="13">
        <f>C94/B63</f>
        <v>5.6484410302756437E-2</v>
      </c>
      <c r="H94" s="13">
        <v>1.7999999999999999E-2</v>
      </c>
      <c r="I94" s="13">
        <f>C94*0.9862</f>
        <v>739.65</v>
      </c>
      <c r="P94" s="13">
        <f>(C94*(D94/100))/2</f>
        <v>32.8125</v>
      </c>
      <c r="Q94" s="13">
        <f>C94*(D94/100)</f>
        <v>65.625</v>
      </c>
      <c r="R94" s="13">
        <f>Q94</f>
        <v>65.625</v>
      </c>
      <c r="S94" s="13">
        <v>0</v>
      </c>
      <c r="T94" s="13">
        <f t="shared" ref="T94:AG94" si="35">T62*0.056484</f>
        <v>26.942868000000001</v>
      </c>
      <c r="U94" s="13">
        <f t="shared" si="35"/>
        <v>39.086928</v>
      </c>
      <c r="V94" s="13">
        <f t="shared" si="35"/>
        <v>77.778468000000004</v>
      </c>
      <c r="W94" s="13">
        <f t="shared" si="35"/>
        <v>63.996372000000001</v>
      </c>
      <c r="X94" s="13">
        <f t="shared" si="35"/>
        <v>62.075915999999999</v>
      </c>
      <c r="Y94" s="13">
        <f t="shared" si="35"/>
        <v>62.640755999999996</v>
      </c>
      <c r="Z94" s="13">
        <f t="shared" si="35"/>
        <v>52.925508000000001</v>
      </c>
      <c r="AA94" s="13">
        <f t="shared" si="35"/>
        <v>47.333592000000003</v>
      </c>
      <c r="AB94" s="13">
        <f t="shared" si="35"/>
        <v>45.243684000000002</v>
      </c>
      <c r="AC94" s="13">
        <f t="shared" si="35"/>
        <v>43.097292000000003</v>
      </c>
      <c r="AD94" s="13">
        <f t="shared" si="35"/>
        <v>41.007384000000002</v>
      </c>
      <c r="AE94" s="13">
        <f t="shared" si="35"/>
        <v>53.207928000000003</v>
      </c>
      <c r="AF94" s="13">
        <f t="shared" si="35"/>
        <v>58.912812000000002</v>
      </c>
      <c r="AG94" s="13">
        <f t="shared" si="35"/>
        <v>29.145744000000001</v>
      </c>
    </row>
    <row r="95" spans="1:33" s="13" customFormat="1" x14ac:dyDescent="0.25">
      <c r="A95" s="13" t="s">
        <v>117</v>
      </c>
      <c r="B95" s="14">
        <f>NPV(H94,P94:AG94)</f>
        <v>734.10515913057634</v>
      </c>
    </row>
    <row r="96" spans="1:33" s="13" customFormat="1" x14ac:dyDescent="0.25"/>
    <row r="97" spans="1:33" s="13" customFormat="1" x14ac:dyDescent="0.25">
      <c r="A97" s="13" t="s">
        <v>132</v>
      </c>
      <c r="B97" s="14">
        <f>B67+B69+B71+B73+B75+B77+B79+B81+B83+B85+B87+B89+B91+B93+B95</f>
        <v>13361.674545218291</v>
      </c>
    </row>
    <row r="98" spans="1:33" s="13" customFormat="1" x14ac:dyDescent="0.25">
      <c r="A98" s="13" t="s">
        <v>133</v>
      </c>
      <c r="B98" s="13">
        <f>SUM(I66:I94)</f>
        <v>13120.0995</v>
      </c>
    </row>
    <row r="99" spans="1:33" s="13" customFormat="1" x14ac:dyDescent="0.25">
      <c r="A99" s="13" t="s">
        <v>41</v>
      </c>
      <c r="B99" s="15">
        <f>B97-B98</f>
        <v>241.57504521829105</v>
      </c>
    </row>
    <row r="100" spans="1:33" s="13" customFormat="1" x14ac:dyDescent="0.25">
      <c r="A100" s="13" t="s">
        <v>40</v>
      </c>
      <c r="B100" s="16">
        <f>B99/B98</f>
        <v>1.8412592466870471E-2</v>
      </c>
    </row>
    <row r="101" spans="1:33" s="13" customFormat="1" x14ac:dyDescent="0.25"/>
    <row r="102" spans="1:33" s="13" customFormat="1" x14ac:dyDescent="0.25">
      <c r="A102" s="12" t="s">
        <v>134</v>
      </c>
    </row>
    <row r="103" spans="1:33" s="13" customFormat="1" x14ac:dyDescent="0.25">
      <c r="C103" s="13" t="s">
        <v>135</v>
      </c>
      <c r="D103" s="13" t="s">
        <v>136</v>
      </c>
      <c r="E103" s="13" t="s">
        <v>137</v>
      </c>
    </row>
    <row r="104" spans="1:33" s="13" customFormat="1" x14ac:dyDescent="0.25">
      <c r="A104" s="13" t="s">
        <v>98</v>
      </c>
      <c r="B104" s="23" t="s">
        <v>99</v>
      </c>
      <c r="C104" s="13">
        <v>53</v>
      </c>
      <c r="D104" s="13">
        <f>C66*(C104/100)</f>
        <v>134.09</v>
      </c>
      <c r="E104" s="13">
        <v>3.5000000000000003E-2</v>
      </c>
      <c r="S104" s="13">
        <f>S66</f>
        <v>0</v>
      </c>
      <c r="T104" s="13">
        <f t="shared" ref="T104:AG118" si="36">T66</f>
        <v>9.0887580000000003</v>
      </c>
      <c r="U104" s="13">
        <f t="shared" si="36"/>
        <v>13.185368</v>
      </c>
      <c r="V104" s="13">
        <f t="shared" si="36"/>
        <v>26.237358</v>
      </c>
      <c r="W104" s="13">
        <f t="shared" si="36"/>
        <v>21.588182000000003</v>
      </c>
      <c r="X104" s="13">
        <f t="shared" si="36"/>
        <v>20.940346000000002</v>
      </c>
      <c r="Y104" s="13">
        <f t="shared" si="36"/>
        <v>21.130886</v>
      </c>
      <c r="Z104" s="13">
        <f t="shared" si="36"/>
        <v>17.853598000000002</v>
      </c>
      <c r="AA104" s="13">
        <f t="shared" si="36"/>
        <v>15.967252000000002</v>
      </c>
      <c r="AB104" s="13">
        <f t="shared" si="36"/>
        <v>15.262254</v>
      </c>
      <c r="AC104" s="13">
        <f t="shared" si="36"/>
        <v>14.538202000000002</v>
      </c>
      <c r="AD104" s="13">
        <f t="shared" si="36"/>
        <v>13.833204</v>
      </c>
      <c r="AE104" s="13">
        <f t="shared" si="36"/>
        <v>17.948868000000001</v>
      </c>
      <c r="AF104" s="13">
        <f t="shared" si="36"/>
        <v>19.873322000000002</v>
      </c>
      <c r="AG104" s="13">
        <f t="shared" si="36"/>
        <v>9.8318640000000013</v>
      </c>
    </row>
    <row r="105" spans="1:33" s="13" customFormat="1" x14ac:dyDescent="0.25">
      <c r="A105" s="13" t="s">
        <v>117</v>
      </c>
      <c r="B105" s="14">
        <f>NPV(E104,S104:AG104)</f>
        <v>179.89014341283576</v>
      </c>
    </row>
    <row r="106" spans="1:33" s="13" customFormat="1" x14ac:dyDescent="0.25">
      <c r="A106" s="13" t="s">
        <v>101</v>
      </c>
      <c r="B106" s="24" t="s">
        <v>102</v>
      </c>
      <c r="C106" s="13">
        <v>53</v>
      </c>
      <c r="D106" s="13">
        <f>C68*(C106/100)</f>
        <v>278.25</v>
      </c>
      <c r="E106" s="13">
        <v>3.5000000000000003E-2</v>
      </c>
      <c r="S106" s="13">
        <f>S68</f>
        <v>0</v>
      </c>
      <c r="T106" s="13">
        <f t="shared" si="36"/>
        <v>18.860102999999999</v>
      </c>
      <c r="U106" s="13">
        <f t="shared" si="36"/>
        <v>27.360987999999999</v>
      </c>
      <c r="V106" s="13">
        <f t="shared" si="36"/>
        <v>54.445202999999999</v>
      </c>
      <c r="W106" s="13">
        <f t="shared" si="36"/>
        <v>44.797686999999996</v>
      </c>
      <c r="X106" s="13">
        <f t="shared" si="36"/>
        <v>43.453361000000001</v>
      </c>
      <c r="Y106" s="13">
        <f t="shared" si="36"/>
        <v>43.848751</v>
      </c>
      <c r="Z106" s="13">
        <f t="shared" si="36"/>
        <v>37.048043</v>
      </c>
      <c r="AA106" s="13">
        <f t="shared" si="36"/>
        <v>33.133682</v>
      </c>
      <c r="AB106" s="13">
        <f t="shared" si="36"/>
        <v>31.670738999999998</v>
      </c>
      <c r="AC106" s="13">
        <f t="shared" si="36"/>
        <v>30.168256999999997</v>
      </c>
      <c r="AD106" s="13">
        <f t="shared" si="36"/>
        <v>28.705313999999998</v>
      </c>
      <c r="AE106" s="13">
        <f t="shared" si="36"/>
        <v>37.245737999999996</v>
      </c>
      <c r="AF106" s="13">
        <f t="shared" si="36"/>
        <v>41.239176999999998</v>
      </c>
      <c r="AG106" s="13">
        <f t="shared" si="36"/>
        <v>20.402124000000001</v>
      </c>
    </row>
    <row r="107" spans="1:33" s="13" customFormat="1" x14ac:dyDescent="0.25">
      <c r="A107" s="13" t="s">
        <v>117</v>
      </c>
      <c r="B107" s="14">
        <f>NPV(E106,S106:AG106)</f>
        <v>373.29045766768712</v>
      </c>
    </row>
    <row r="108" spans="1:33" s="13" customFormat="1" x14ac:dyDescent="0.25">
      <c r="A108" s="13" t="s">
        <v>104</v>
      </c>
      <c r="B108" s="23" t="s">
        <v>105</v>
      </c>
      <c r="C108" s="13">
        <v>53</v>
      </c>
      <c r="D108" s="13">
        <f>C70*(C108/100)</f>
        <v>530</v>
      </c>
      <c r="E108" s="13">
        <v>3.5000000000000003E-2</v>
      </c>
      <c r="S108" s="13">
        <f>S70</f>
        <v>0</v>
      </c>
      <c r="T108" s="13">
        <f t="shared" si="36"/>
        <v>35.924301</v>
      </c>
      <c r="U108" s="13">
        <f t="shared" si="36"/>
        <v>52.116596000000001</v>
      </c>
      <c r="V108" s="13">
        <f t="shared" si="36"/>
        <v>103.706001</v>
      </c>
      <c r="W108" s="13">
        <f t="shared" si="36"/>
        <v>85.329629000000011</v>
      </c>
      <c r="X108" s="13">
        <f t="shared" si="36"/>
        <v>82.76898700000001</v>
      </c>
      <c r="Y108" s="13">
        <f t="shared" si="36"/>
        <v>83.522117000000009</v>
      </c>
      <c r="Z108" s="13">
        <f t="shared" si="36"/>
        <v>70.568280999999999</v>
      </c>
      <c r="AA108" s="13">
        <f t="shared" si="36"/>
        <v>63.112294000000006</v>
      </c>
      <c r="AB108" s="13">
        <f t="shared" si="36"/>
        <v>60.325713000000007</v>
      </c>
      <c r="AC108" s="13">
        <f t="shared" si="36"/>
        <v>57.463819000000001</v>
      </c>
      <c r="AD108" s="13">
        <f t="shared" si="36"/>
        <v>54.677238000000003</v>
      </c>
      <c r="AE108" s="13">
        <f t="shared" si="36"/>
        <v>70.944845999999998</v>
      </c>
      <c r="AF108" s="13">
        <f t="shared" si="36"/>
        <v>78.551459000000008</v>
      </c>
      <c r="AG108" s="13">
        <f t="shared" si="36"/>
        <v>38.861508000000001</v>
      </c>
    </row>
    <row r="109" spans="1:33" s="13" customFormat="1" x14ac:dyDescent="0.25">
      <c r="A109" s="13" t="s">
        <v>106</v>
      </c>
      <c r="B109" s="14">
        <f>NPV(H108,K108:AG108)</f>
        <v>937.8727889999999</v>
      </c>
    </row>
    <row r="110" spans="1:33" s="13" customFormat="1" x14ac:dyDescent="0.25">
      <c r="A110" s="13" t="s">
        <v>107</v>
      </c>
      <c r="B110" s="23" t="s">
        <v>108</v>
      </c>
      <c r="C110" s="13">
        <v>53</v>
      </c>
      <c r="D110" s="13">
        <f>C72*(C110/100)</f>
        <v>662.5</v>
      </c>
      <c r="E110" s="13">
        <v>3.5000000000000003E-2</v>
      </c>
      <c r="S110" s="13">
        <f>S72</f>
        <v>0</v>
      </c>
      <c r="T110" s="13">
        <f t="shared" si="36"/>
        <v>44.905256999999999</v>
      </c>
      <c r="U110" s="13">
        <f t="shared" si="36"/>
        <v>65.145572000000001</v>
      </c>
      <c r="V110" s="13">
        <f t="shared" si="36"/>
        <v>129.63215700000001</v>
      </c>
      <c r="W110" s="13">
        <f t="shared" si="36"/>
        <v>106.661753</v>
      </c>
      <c r="X110" s="13">
        <f t="shared" si="36"/>
        <v>103.460959</v>
      </c>
      <c r="Y110" s="13">
        <f t="shared" si="36"/>
        <v>104.40236900000001</v>
      </c>
      <c r="Z110" s="13">
        <f t="shared" si="36"/>
        <v>88.210116999999997</v>
      </c>
      <c r="AA110" s="13">
        <f t="shared" si="36"/>
        <v>78.890158</v>
      </c>
      <c r="AB110" s="13">
        <f t="shared" si="36"/>
        <v>75.406941000000003</v>
      </c>
      <c r="AC110" s="13">
        <f t="shared" si="36"/>
        <v>71.829583</v>
      </c>
      <c r="AD110" s="13">
        <f t="shared" si="36"/>
        <v>68.346366000000003</v>
      </c>
      <c r="AE110" s="13">
        <f t="shared" si="36"/>
        <v>88.680822000000006</v>
      </c>
      <c r="AF110" s="13">
        <f t="shared" si="36"/>
        <v>98.189063000000004</v>
      </c>
      <c r="AG110" s="13">
        <f t="shared" si="36"/>
        <v>48.576756000000003</v>
      </c>
    </row>
    <row r="111" spans="1:33" s="13" customFormat="1" x14ac:dyDescent="0.25">
      <c r="A111" s="13" t="s">
        <v>106</v>
      </c>
      <c r="B111" s="14">
        <f>NPV(H110,P110:AG110)</f>
        <v>1172.3378729999999</v>
      </c>
    </row>
    <row r="112" spans="1:33" s="13" customFormat="1" x14ac:dyDescent="0.25">
      <c r="A112" s="13" t="s">
        <v>109</v>
      </c>
      <c r="B112" s="23" t="s">
        <v>110</v>
      </c>
      <c r="C112" s="13">
        <v>53</v>
      </c>
      <c r="D112" s="13">
        <f>C74*(C112/100)</f>
        <v>397.5</v>
      </c>
      <c r="E112" s="13">
        <v>3.5000000000000003E-2</v>
      </c>
      <c r="S112" s="13">
        <f>S74</f>
        <v>0</v>
      </c>
      <c r="T112" s="13">
        <f t="shared" si="36"/>
        <v>26.942868000000001</v>
      </c>
      <c r="U112" s="13">
        <f t="shared" si="36"/>
        <v>39.086928</v>
      </c>
      <c r="V112" s="13">
        <f t="shared" si="36"/>
        <v>77.778468000000004</v>
      </c>
      <c r="W112" s="13">
        <f t="shared" si="36"/>
        <v>63.996372000000001</v>
      </c>
      <c r="X112" s="13">
        <f t="shared" si="36"/>
        <v>62.075915999999999</v>
      </c>
      <c r="Y112" s="13">
        <f t="shared" si="36"/>
        <v>62.640755999999996</v>
      </c>
      <c r="Z112" s="13">
        <f t="shared" si="36"/>
        <v>52.925508000000001</v>
      </c>
      <c r="AA112" s="13">
        <f t="shared" si="36"/>
        <v>47.333592000000003</v>
      </c>
      <c r="AB112" s="13">
        <f t="shared" si="36"/>
        <v>45.243684000000002</v>
      </c>
      <c r="AC112" s="13">
        <f t="shared" si="36"/>
        <v>43.097292000000003</v>
      </c>
      <c r="AD112" s="13">
        <f t="shared" si="36"/>
        <v>41.007384000000002</v>
      </c>
      <c r="AE112" s="13">
        <f t="shared" si="36"/>
        <v>53.207928000000003</v>
      </c>
      <c r="AF112" s="13">
        <f t="shared" si="36"/>
        <v>58.912812000000002</v>
      </c>
      <c r="AG112" s="13">
        <f t="shared" si="36"/>
        <v>29.145744000000001</v>
      </c>
    </row>
    <row r="113" spans="1:33" s="13" customFormat="1" x14ac:dyDescent="0.25">
      <c r="A113" s="13" t="s">
        <v>106</v>
      </c>
      <c r="B113" s="14">
        <f>NPV(H112,O112:AG112)</f>
        <v>703.39525200000014</v>
      </c>
    </row>
    <row r="114" spans="1:33" s="13" customFormat="1" x14ac:dyDescent="0.25">
      <c r="A114" s="13" t="s">
        <v>111</v>
      </c>
      <c r="B114" s="25" t="s">
        <v>112</v>
      </c>
      <c r="C114" s="13">
        <v>53</v>
      </c>
      <c r="D114" s="13">
        <f>C76*(C114/100)</f>
        <v>530</v>
      </c>
      <c r="E114" s="13">
        <v>3.5000000000000003E-2</v>
      </c>
      <c r="S114" s="13">
        <f>S76</f>
        <v>0</v>
      </c>
      <c r="T114" s="13">
        <f t="shared" si="36"/>
        <v>35.924301</v>
      </c>
      <c r="U114" s="13">
        <f t="shared" si="36"/>
        <v>52.116596000000001</v>
      </c>
      <c r="V114" s="13">
        <f t="shared" si="36"/>
        <v>103.706001</v>
      </c>
      <c r="W114" s="13">
        <f t="shared" si="36"/>
        <v>85.329629000000011</v>
      </c>
      <c r="X114" s="13">
        <f t="shared" si="36"/>
        <v>82.76898700000001</v>
      </c>
      <c r="Y114" s="13">
        <f t="shared" si="36"/>
        <v>83.522117000000009</v>
      </c>
      <c r="Z114" s="13">
        <f t="shared" si="36"/>
        <v>70.568280999999999</v>
      </c>
      <c r="AA114" s="13">
        <f t="shared" si="36"/>
        <v>63.112294000000006</v>
      </c>
      <c r="AB114" s="13">
        <f t="shared" si="36"/>
        <v>60.325713000000007</v>
      </c>
      <c r="AC114" s="13">
        <f t="shared" si="36"/>
        <v>57.463819000000001</v>
      </c>
      <c r="AD114" s="13">
        <f t="shared" si="36"/>
        <v>54.677238000000003</v>
      </c>
      <c r="AE114" s="13">
        <f t="shared" si="36"/>
        <v>70.944845999999998</v>
      </c>
      <c r="AF114" s="13">
        <f t="shared" si="36"/>
        <v>78.551459000000008</v>
      </c>
      <c r="AG114" s="13">
        <f t="shared" si="36"/>
        <v>38.861508000000001</v>
      </c>
    </row>
    <row r="115" spans="1:33" s="13" customFormat="1" x14ac:dyDescent="0.25">
      <c r="A115" s="13" t="s">
        <v>106</v>
      </c>
      <c r="B115" s="14">
        <f>NPV(H114,Q114:AG114)</f>
        <v>937.8727889999999</v>
      </c>
    </row>
    <row r="116" spans="1:33" s="13" customFormat="1" x14ac:dyDescent="0.25">
      <c r="A116" s="13" t="s">
        <v>113</v>
      </c>
      <c r="B116" s="23" t="s">
        <v>114</v>
      </c>
      <c r="C116" s="13">
        <v>53</v>
      </c>
      <c r="D116" s="13">
        <f>C78*(C116/100)</f>
        <v>530</v>
      </c>
      <c r="E116" s="13">
        <v>3.5000000000000003E-2</v>
      </c>
      <c r="S116" s="13">
        <f>S78</f>
        <v>0</v>
      </c>
      <c r="T116" s="13">
        <f t="shared" si="36"/>
        <v>35.924301</v>
      </c>
      <c r="U116" s="13">
        <f t="shared" si="36"/>
        <v>52.116596000000001</v>
      </c>
      <c r="V116" s="13">
        <f t="shared" si="36"/>
        <v>103.706001</v>
      </c>
      <c r="W116" s="13">
        <f t="shared" si="36"/>
        <v>85.329629000000011</v>
      </c>
      <c r="X116" s="13">
        <f t="shared" si="36"/>
        <v>82.76898700000001</v>
      </c>
      <c r="Y116" s="13">
        <f t="shared" si="36"/>
        <v>83.522117000000009</v>
      </c>
      <c r="Z116" s="13">
        <f t="shared" si="36"/>
        <v>70.568280999999999</v>
      </c>
      <c r="AA116" s="13">
        <f t="shared" si="36"/>
        <v>63.112294000000006</v>
      </c>
      <c r="AB116" s="13">
        <f t="shared" si="36"/>
        <v>60.325713000000007</v>
      </c>
      <c r="AC116" s="13">
        <f t="shared" si="36"/>
        <v>57.463819000000001</v>
      </c>
      <c r="AD116" s="13">
        <f t="shared" si="36"/>
        <v>54.677238000000003</v>
      </c>
      <c r="AE116" s="13">
        <f t="shared" si="36"/>
        <v>70.944845999999998</v>
      </c>
      <c r="AF116" s="13">
        <f t="shared" si="36"/>
        <v>78.551459000000008</v>
      </c>
      <c r="AG116" s="13">
        <f t="shared" si="36"/>
        <v>38.861508000000001</v>
      </c>
    </row>
    <row r="117" spans="1:33" s="13" customFormat="1" x14ac:dyDescent="0.25">
      <c r="A117" s="13" t="s">
        <v>106</v>
      </c>
      <c r="B117" s="14">
        <f>NPV(H116,N116:AG116)</f>
        <v>937.8727889999999</v>
      </c>
    </row>
    <row r="118" spans="1:33" s="13" customFormat="1" x14ac:dyDescent="0.25">
      <c r="A118" s="13" t="s">
        <v>115</v>
      </c>
      <c r="B118" s="23" t="s">
        <v>116</v>
      </c>
      <c r="C118" s="13">
        <v>78</v>
      </c>
      <c r="D118" s="13">
        <f>C80*(C118/100)</f>
        <v>780</v>
      </c>
      <c r="E118" s="13">
        <v>3.5000000000000003E-2</v>
      </c>
      <c r="S118" s="13">
        <f>S80</f>
        <v>107.5</v>
      </c>
      <c r="T118" s="13">
        <f t="shared" si="36"/>
        <v>143.42430100000001</v>
      </c>
      <c r="U118" s="13">
        <f t="shared" si="36"/>
        <v>159.61659600000002</v>
      </c>
      <c r="V118" s="13">
        <f t="shared" si="36"/>
        <v>181.20600100000001</v>
      </c>
      <c r="W118" s="13">
        <f t="shared" si="36"/>
        <v>85.329629000000011</v>
      </c>
      <c r="X118" s="13">
        <f t="shared" si="36"/>
        <v>82.76898700000001</v>
      </c>
      <c r="Y118" s="13">
        <f t="shared" si="36"/>
        <v>83.522117000000009</v>
      </c>
      <c r="Z118" s="13">
        <f t="shared" si="36"/>
        <v>70.568280999999999</v>
      </c>
      <c r="AA118" s="13">
        <f t="shared" si="36"/>
        <v>63.112294000000006</v>
      </c>
      <c r="AB118" s="13">
        <f t="shared" si="36"/>
        <v>60.325713000000007</v>
      </c>
      <c r="AC118" s="13">
        <f t="shared" si="36"/>
        <v>57.463819000000001</v>
      </c>
      <c r="AD118" s="13">
        <f t="shared" si="36"/>
        <v>54.677238000000003</v>
      </c>
      <c r="AE118" s="13">
        <f t="shared" si="36"/>
        <v>70.944845999999998</v>
      </c>
      <c r="AF118" s="13">
        <f t="shared" si="36"/>
        <v>78.551459000000008</v>
      </c>
      <c r="AG118" s="13">
        <f t="shared" si="36"/>
        <v>38.861508000000001</v>
      </c>
    </row>
    <row r="119" spans="1:33" s="13" customFormat="1" x14ac:dyDescent="0.25">
      <c r="A119" s="13" t="s">
        <v>117</v>
      </c>
      <c r="B119" s="14">
        <f>NPV(H118,L118:AG118)</f>
        <v>1337.8727890000002</v>
      </c>
    </row>
    <row r="120" spans="1:33" s="13" customFormat="1" x14ac:dyDescent="0.25">
      <c r="A120" s="13" t="s">
        <v>118</v>
      </c>
      <c r="B120" s="23" t="s">
        <v>119</v>
      </c>
      <c r="C120" s="13">
        <v>53</v>
      </c>
      <c r="D120" s="13">
        <f>C82*(C120/100)</f>
        <v>662.5</v>
      </c>
      <c r="E120" s="13">
        <v>3.5000000000000003E-2</v>
      </c>
      <c r="S120" s="13">
        <f>S82</f>
        <v>0</v>
      </c>
      <c r="T120" s="13">
        <f t="shared" ref="T120:AG132" si="37">T82</f>
        <v>44.905256999999999</v>
      </c>
      <c r="U120" s="13">
        <f t="shared" si="37"/>
        <v>65.145572000000001</v>
      </c>
      <c r="V120" s="13">
        <f t="shared" si="37"/>
        <v>129.63215700000001</v>
      </c>
      <c r="W120" s="13">
        <f t="shared" si="37"/>
        <v>106.661753</v>
      </c>
      <c r="X120" s="13">
        <f t="shared" si="37"/>
        <v>103.460959</v>
      </c>
      <c r="Y120" s="13">
        <f t="shared" si="37"/>
        <v>104.40236900000001</v>
      </c>
      <c r="Z120" s="13">
        <f t="shared" si="37"/>
        <v>88.210116999999997</v>
      </c>
      <c r="AA120" s="13">
        <f t="shared" si="37"/>
        <v>78.890158</v>
      </c>
      <c r="AB120" s="13">
        <f t="shared" si="37"/>
        <v>75.406941000000003</v>
      </c>
      <c r="AC120" s="13">
        <f t="shared" si="37"/>
        <v>71.829583</v>
      </c>
      <c r="AD120" s="13">
        <f t="shared" si="37"/>
        <v>68.346366000000003</v>
      </c>
      <c r="AE120" s="13">
        <f t="shared" si="37"/>
        <v>88.680822000000006</v>
      </c>
      <c r="AF120" s="13">
        <f t="shared" si="37"/>
        <v>98.189063000000004</v>
      </c>
      <c r="AG120" s="13">
        <f t="shared" si="37"/>
        <v>48.576756000000003</v>
      </c>
    </row>
    <row r="121" spans="1:33" s="13" customFormat="1" x14ac:dyDescent="0.25">
      <c r="A121" s="13" t="s">
        <v>117</v>
      </c>
      <c r="B121" s="14">
        <f>NPV(H120,O120:AG120)</f>
        <v>1172.3378729999999</v>
      </c>
    </row>
    <row r="122" spans="1:33" s="13" customFormat="1" x14ac:dyDescent="0.25">
      <c r="A122" s="13" t="s">
        <v>120</v>
      </c>
      <c r="B122" s="24" t="s">
        <v>121</v>
      </c>
      <c r="C122" s="13">
        <v>53</v>
      </c>
      <c r="D122" s="13">
        <f>C84*(C122/100)</f>
        <v>530</v>
      </c>
      <c r="E122" s="13">
        <v>3.5000000000000003E-2</v>
      </c>
      <c r="S122" s="13">
        <f>S84</f>
        <v>0</v>
      </c>
      <c r="T122" s="13">
        <f t="shared" si="37"/>
        <v>35.924301</v>
      </c>
      <c r="U122" s="13">
        <f t="shared" si="37"/>
        <v>52.116596000000001</v>
      </c>
      <c r="V122" s="13">
        <f t="shared" si="37"/>
        <v>103.706001</v>
      </c>
      <c r="W122" s="13">
        <f t="shared" si="37"/>
        <v>85.329629000000011</v>
      </c>
      <c r="X122" s="13">
        <f t="shared" si="37"/>
        <v>82.76898700000001</v>
      </c>
      <c r="Y122" s="13">
        <f t="shared" si="37"/>
        <v>83.522117000000009</v>
      </c>
      <c r="Z122" s="13">
        <f t="shared" si="37"/>
        <v>70.568280999999999</v>
      </c>
      <c r="AA122" s="13">
        <f t="shared" si="37"/>
        <v>63.112294000000006</v>
      </c>
      <c r="AB122" s="13">
        <f t="shared" si="37"/>
        <v>60.325713000000007</v>
      </c>
      <c r="AC122" s="13">
        <f t="shared" si="37"/>
        <v>57.463819000000001</v>
      </c>
      <c r="AD122" s="13">
        <f t="shared" si="37"/>
        <v>54.677238000000003</v>
      </c>
      <c r="AE122" s="13">
        <f t="shared" si="37"/>
        <v>70.944845999999998</v>
      </c>
      <c r="AF122" s="13">
        <f t="shared" si="37"/>
        <v>78.551459000000008</v>
      </c>
      <c r="AG122" s="13">
        <f t="shared" si="37"/>
        <v>38.861508000000001</v>
      </c>
    </row>
    <row r="123" spans="1:33" s="13" customFormat="1" x14ac:dyDescent="0.25">
      <c r="A123" s="13" t="s">
        <v>117</v>
      </c>
      <c r="B123" s="14">
        <f>NPV(H122,Q122:AG122)</f>
        <v>937.8727889999999</v>
      </c>
    </row>
    <row r="124" spans="1:33" s="13" customFormat="1" x14ac:dyDescent="0.25">
      <c r="A124" s="13" t="s">
        <v>122</v>
      </c>
      <c r="B124" s="23" t="s">
        <v>123</v>
      </c>
      <c r="C124" s="13">
        <v>53</v>
      </c>
      <c r="D124" s="13">
        <f>C86*(C124/100)</f>
        <v>530</v>
      </c>
      <c r="E124" s="13">
        <v>3.5000000000000003E-2</v>
      </c>
      <c r="S124" s="13">
        <f>S86</f>
        <v>0</v>
      </c>
      <c r="T124" s="13">
        <f t="shared" si="37"/>
        <v>35.924301</v>
      </c>
      <c r="U124" s="13">
        <f t="shared" si="37"/>
        <v>52.116596000000001</v>
      </c>
      <c r="V124" s="13">
        <f t="shared" si="37"/>
        <v>103.706001</v>
      </c>
      <c r="W124" s="13">
        <f t="shared" si="37"/>
        <v>85.329629000000011</v>
      </c>
      <c r="X124" s="13">
        <f t="shared" si="37"/>
        <v>82.76898700000001</v>
      </c>
      <c r="Y124" s="13">
        <f t="shared" si="37"/>
        <v>83.522117000000009</v>
      </c>
      <c r="Z124" s="13">
        <f t="shared" si="37"/>
        <v>70.568280999999999</v>
      </c>
      <c r="AA124" s="13">
        <f t="shared" si="37"/>
        <v>63.112294000000006</v>
      </c>
      <c r="AB124" s="13">
        <f t="shared" si="37"/>
        <v>60.325713000000007</v>
      </c>
      <c r="AC124" s="13">
        <f t="shared" si="37"/>
        <v>57.463819000000001</v>
      </c>
      <c r="AD124" s="13">
        <f t="shared" si="37"/>
        <v>54.677238000000003</v>
      </c>
      <c r="AE124" s="13">
        <f t="shared" si="37"/>
        <v>70.944845999999998</v>
      </c>
      <c r="AF124" s="13">
        <f t="shared" si="37"/>
        <v>78.551459000000008</v>
      </c>
      <c r="AG124" s="13">
        <f t="shared" si="37"/>
        <v>38.861508000000001</v>
      </c>
    </row>
    <row r="125" spans="1:33" s="13" customFormat="1" x14ac:dyDescent="0.25">
      <c r="A125" s="13" t="s">
        <v>117</v>
      </c>
      <c r="B125" s="14">
        <f>NPV(H124,P124:AG124)</f>
        <v>937.8727889999999</v>
      </c>
    </row>
    <row r="126" spans="1:33" s="13" customFormat="1" x14ac:dyDescent="0.25">
      <c r="A126" s="13" t="s">
        <v>124</v>
      </c>
      <c r="B126" s="24" t="s">
        <v>125</v>
      </c>
      <c r="C126" s="13">
        <v>53</v>
      </c>
      <c r="D126" s="13">
        <f>C88*(C126/100)</f>
        <v>265</v>
      </c>
      <c r="E126" s="13">
        <v>3.5000000000000003E-2</v>
      </c>
      <c r="S126" s="13">
        <f>S88</f>
        <v>0</v>
      </c>
      <c r="T126" s="13">
        <f t="shared" si="37"/>
        <v>17.961912000000002</v>
      </c>
      <c r="U126" s="13">
        <f t="shared" si="37"/>
        <v>26.057952</v>
      </c>
      <c r="V126" s="13">
        <f t="shared" si="37"/>
        <v>51.852312000000005</v>
      </c>
      <c r="W126" s="13">
        <f t="shared" si="37"/>
        <v>42.664248000000001</v>
      </c>
      <c r="X126" s="13">
        <f t="shared" si="37"/>
        <v>41.383944</v>
      </c>
      <c r="Y126" s="13">
        <f t="shared" si="37"/>
        <v>41.760504000000005</v>
      </c>
      <c r="Z126" s="13">
        <f t="shared" si="37"/>
        <v>35.283672000000003</v>
      </c>
      <c r="AA126" s="13">
        <f t="shared" si="37"/>
        <v>31.555728000000002</v>
      </c>
      <c r="AB126" s="13">
        <f t="shared" si="37"/>
        <v>30.162456000000002</v>
      </c>
      <c r="AC126" s="13">
        <f t="shared" si="37"/>
        <v>28.731528000000001</v>
      </c>
      <c r="AD126" s="13">
        <f t="shared" si="37"/>
        <v>27.338256000000001</v>
      </c>
      <c r="AE126" s="13">
        <f t="shared" si="37"/>
        <v>35.471952000000002</v>
      </c>
      <c r="AF126" s="13">
        <f t="shared" si="37"/>
        <v>39.275207999999999</v>
      </c>
      <c r="AG126" s="13">
        <f t="shared" si="37"/>
        <v>19.430496000000002</v>
      </c>
    </row>
    <row r="127" spans="1:33" s="13" customFormat="1" x14ac:dyDescent="0.25">
      <c r="A127" s="13" t="s">
        <v>117</v>
      </c>
      <c r="B127" s="14">
        <f>NPV(H126,Q126:AG126)</f>
        <v>468.93016800000004</v>
      </c>
    </row>
    <row r="128" spans="1:33" s="13" customFormat="1" x14ac:dyDescent="0.25">
      <c r="A128" s="13" t="s">
        <v>126</v>
      </c>
      <c r="B128" s="23" t="s">
        <v>127</v>
      </c>
      <c r="C128" s="13">
        <v>53</v>
      </c>
      <c r="D128" s="13">
        <f>C90*(C128/100)</f>
        <v>530</v>
      </c>
      <c r="E128" s="13">
        <v>3.5000000000000003E-2</v>
      </c>
      <c r="S128" s="13">
        <f>S90</f>
        <v>0</v>
      </c>
      <c r="T128" s="13">
        <f t="shared" si="37"/>
        <v>35.924301</v>
      </c>
      <c r="U128" s="13">
        <f t="shared" si="37"/>
        <v>52.116596000000001</v>
      </c>
      <c r="V128" s="13">
        <f t="shared" si="37"/>
        <v>103.706001</v>
      </c>
      <c r="W128" s="13">
        <f t="shared" si="37"/>
        <v>85.329629000000011</v>
      </c>
      <c r="X128" s="13">
        <f t="shared" si="37"/>
        <v>82.76898700000001</v>
      </c>
      <c r="Y128" s="13">
        <f t="shared" si="37"/>
        <v>83.522117000000009</v>
      </c>
      <c r="Z128" s="13">
        <f t="shared" si="37"/>
        <v>70.568280999999999</v>
      </c>
      <c r="AA128" s="13">
        <f t="shared" si="37"/>
        <v>63.112294000000006</v>
      </c>
      <c r="AB128" s="13">
        <f t="shared" si="37"/>
        <v>60.325713000000007</v>
      </c>
      <c r="AC128" s="13">
        <f t="shared" si="37"/>
        <v>57.463819000000001</v>
      </c>
      <c r="AD128" s="13">
        <f t="shared" si="37"/>
        <v>54.677238000000003</v>
      </c>
      <c r="AE128" s="13">
        <f t="shared" si="37"/>
        <v>70.944845999999998</v>
      </c>
      <c r="AF128" s="13">
        <f t="shared" si="37"/>
        <v>78.551459000000008</v>
      </c>
      <c r="AG128" s="13">
        <f t="shared" si="37"/>
        <v>38.861508000000001</v>
      </c>
    </row>
    <row r="129" spans="1:33" s="13" customFormat="1" x14ac:dyDescent="0.25">
      <c r="A129" s="13" t="s">
        <v>117</v>
      </c>
      <c r="B129" s="14">
        <f>NPV(H128,N128:AG128)</f>
        <v>937.8727889999999</v>
      </c>
    </row>
    <row r="130" spans="1:33" s="13" customFormat="1" x14ac:dyDescent="0.25">
      <c r="A130" s="13" t="s">
        <v>128</v>
      </c>
      <c r="B130" s="23" t="s">
        <v>129</v>
      </c>
      <c r="C130" s="13">
        <v>53</v>
      </c>
      <c r="D130" s="13">
        <f>C92*(C130/100)</f>
        <v>530</v>
      </c>
      <c r="E130" s="13">
        <v>3.5000000000000003E-2</v>
      </c>
      <c r="S130" s="13">
        <f>S92</f>
        <v>0</v>
      </c>
      <c r="T130" s="13">
        <f t="shared" si="37"/>
        <v>35.924301</v>
      </c>
      <c r="U130" s="13">
        <f t="shared" si="37"/>
        <v>52.116596000000001</v>
      </c>
      <c r="V130" s="13">
        <f t="shared" si="37"/>
        <v>103.706001</v>
      </c>
      <c r="W130" s="13">
        <f t="shared" si="37"/>
        <v>85.329629000000011</v>
      </c>
      <c r="X130" s="13">
        <f t="shared" si="37"/>
        <v>82.76898700000001</v>
      </c>
      <c r="Y130" s="13">
        <f t="shared" si="37"/>
        <v>83.522117000000009</v>
      </c>
      <c r="Z130" s="13">
        <f t="shared" si="37"/>
        <v>70.568280999999999</v>
      </c>
      <c r="AA130" s="13">
        <f t="shared" si="37"/>
        <v>63.112294000000006</v>
      </c>
      <c r="AB130" s="13">
        <f t="shared" si="37"/>
        <v>60.325713000000007</v>
      </c>
      <c r="AC130" s="13">
        <f t="shared" si="37"/>
        <v>57.463819000000001</v>
      </c>
      <c r="AD130" s="13">
        <f t="shared" si="37"/>
        <v>54.677238000000003</v>
      </c>
      <c r="AE130" s="13">
        <f t="shared" si="37"/>
        <v>70.944845999999998</v>
      </c>
      <c r="AF130" s="13">
        <f t="shared" si="37"/>
        <v>78.551459000000008</v>
      </c>
      <c r="AG130" s="13">
        <f t="shared" si="37"/>
        <v>38.861508000000001</v>
      </c>
    </row>
    <row r="131" spans="1:33" s="13" customFormat="1" x14ac:dyDescent="0.25">
      <c r="A131" s="13" t="s">
        <v>117</v>
      </c>
      <c r="B131" s="14">
        <f>NPV(H130,O130:AG130)</f>
        <v>937.8727889999999</v>
      </c>
    </row>
    <row r="132" spans="1:33" s="13" customFormat="1" x14ac:dyDescent="0.25">
      <c r="A132" s="13" t="s">
        <v>130</v>
      </c>
      <c r="B132" s="23" t="s">
        <v>131</v>
      </c>
      <c r="C132" s="13">
        <v>53</v>
      </c>
      <c r="D132" s="13">
        <f>C94*(C132/100)</f>
        <v>397.5</v>
      </c>
      <c r="E132" s="13">
        <v>3.5000000000000003E-2</v>
      </c>
      <c r="S132" s="13">
        <f>S94</f>
        <v>0</v>
      </c>
      <c r="T132" s="13">
        <f t="shared" si="37"/>
        <v>26.942868000000001</v>
      </c>
      <c r="U132" s="13">
        <f t="shared" si="37"/>
        <v>39.086928</v>
      </c>
      <c r="V132" s="13">
        <f t="shared" si="37"/>
        <v>77.778468000000004</v>
      </c>
      <c r="W132" s="13">
        <f t="shared" si="37"/>
        <v>63.996372000000001</v>
      </c>
      <c r="X132" s="13">
        <f t="shared" si="37"/>
        <v>62.075915999999999</v>
      </c>
      <c r="Y132" s="13">
        <f t="shared" si="37"/>
        <v>62.640755999999996</v>
      </c>
      <c r="Z132" s="13">
        <f t="shared" si="37"/>
        <v>52.925508000000001</v>
      </c>
      <c r="AA132" s="13">
        <f t="shared" si="37"/>
        <v>47.333592000000003</v>
      </c>
      <c r="AB132" s="13">
        <f t="shared" si="37"/>
        <v>45.243684000000002</v>
      </c>
      <c r="AC132" s="13">
        <f t="shared" si="37"/>
        <v>43.097292000000003</v>
      </c>
      <c r="AD132" s="13">
        <f t="shared" si="37"/>
        <v>41.007384000000002</v>
      </c>
      <c r="AE132" s="13">
        <f t="shared" si="37"/>
        <v>53.207928000000003</v>
      </c>
      <c r="AF132" s="13">
        <f t="shared" si="37"/>
        <v>58.912812000000002</v>
      </c>
      <c r="AG132" s="13">
        <f t="shared" si="37"/>
        <v>29.145744000000001</v>
      </c>
    </row>
    <row r="133" spans="1:33" s="13" customFormat="1" x14ac:dyDescent="0.25">
      <c r="A133" s="13" t="s">
        <v>117</v>
      </c>
      <c r="B133" s="14">
        <f>NPV(H132,P132:AG132)</f>
        <v>703.39525200000014</v>
      </c>
    </row>
    <row r="134" spans="1:33" s="13" customFormat="1" x14ac:dyDescent="0.25"/>
    <row r="135" spans="1:33" s="13" customFormat="1" x14ac:dyDescent="0.25">
      <c r="A135" s="13" t="s">
        <v>132</v>
      </c>
      <c r="B135" s="14">
        <f>B105+B107+B109+B111+B113+B115+B117+B119+B121+B123+B125+B127+B129+B131+B133</f>
        <v>12676.55933108052</v>
      </c>
    </row>
    <row r="136" spans="1:33" s="13" customFormat="1" x14ac:dyDescent="0.25">
      <c r="A136" s="13" t="s">
        <v>138</v>
      </c>
      <c r="B136" s="13">
        <f>SUM(D104:D133)</f>
        <v>7287.34</v>
      </c>
    </row>
    <row r="137" spans="1:33" s="13" customFormat="1" x14ac:dyDescent="0.25">
      <c r="A137" s="13" t="s">
        <v>41</v>
      </c>
      <c r="B137" s="15">
        <f>B135-B136</f>
        <v>5389.2193310805196</v>
      </c>
    </row>
    <row r="138" spans="1:33" s="13" customFormat="1" x14ac:dyDescent="0.25">
      <c r="A138" s="13" t="s">
        <v>40</v>
      </c>
      <c r="B138" s="16">
        <f>B137/B136</f>
        <v>0.73953175384715408</v>
      </c>
    </row>
    <row r="139" spans="1:33" s="13" customFormat="1" x14ac:dyDescent="0.25">
      <c r="B139" s="16"/>
    </row>
    <row r="140" spans="1:33" s="13" customFormat="1" x14ac:dyDescent="0.25">
      <c r="A140" s="13" t="s">
        <v>153</v>
      </c>
      <c r="B140" s="27">
        <f>(B99+B137)/2</f>
        <v>2815.3971881494053</v>
      </c>
    </row>
    <row r="141" spans="1:33" s="13" customFormat="1" x14ac:dyDescent="0.25">
      <c r="A141" s="13" t="s">
        <v>155</v>
      </c>
      <c r="B141" s="27">
        <f>(B98/2)+(B136/2)</f>
        <v>10203.71975</v>
      </c>
    </row>
    <row r="142" spans="1:33" s="13" customFormat="1" x14ac:dyDescent="0.25">
      <c r="A142" s="13" t="s">
        <v>154</v>
      </c>
      <c r="B142" s="16">
        <f>B140/B141</f>
        <v>0.27591870975772392</v>
      </c>
    </row>
    <row r="143" spans="1:33" s="13" customFormat="1" x14ac:dyDescent="0.25">
      <c r="B143" s="16"/>
    </row>
    <row r="145" spans="1:8" s="18" customFormat="1" x14ac:dyDescent="0.25">
      <c r="A145" s="17" t="s">
        <v>46</v>
      </c>
    </row>
    <row r="146" spans="1:8" s="18" customFormat="1" x14ac:dyDescent="0.25"/>
    <row r="147" spans="1:8" s="18" customFormat="1" x14ac:dyDescent="0.25">
      <c r="B147" s="18" t="s">
        <v>145</v>
      </c>
      <c r="C147" s="18" t="s">
        <v>3</v>
      </c>
    </row>
    <row r="148" spans="1:8" s="18" customFormat="1" x14ac:dyDescent="0.25">
      <c r="A148" s="17"/>
      <c r="B148" s="26">
        <v>29920</v>
      </c>
      <c r="C148" s="18" t="s">
        <v>139</v>
      </c>
    </row>
    <row r="149" spans="1:8" s="18" customFormat="1" x14ac:dyDescent="0.25"/>
    <row r="150" spans="1:8" s="18" customFormat="1" x14ac:dyDescent="0.25">
      <c r="A150" s="18" t="s">
        <v>47</v>
      </c>
      <c r="B150" s="18" t="s">
        <v>148</v>
      </c>
      <c r="C150" s="18" t="s">
        <v>139</v>
      </c>
      <c r="D150" s="18" t="s">
        <v>149</v>
      </c>
      <c r="E150" s="18" t="s">
        <v>141</v>
      </c>
      <c r="F150" s="18" t="s">
        <v>150</v>
      </c>
      <c r="G150" s="18" t="s">
        <v>151</v>
      </c>
      <c r="H150" s="18" t="s">
        <v>152</v>
      </c>
    </row>
    <row r="151" spans="1:8" s="18" customFormat="1" x14ac:dyDescent="0.25">
      <c r="A151" s="18" t="s">
        <v>142</v>
      </c>
      <c r="B151" s="26">
        <v>16490</v>
      </c>
      <c r="C151" s="26"/>
      <c r="D151" s="20">
        <f>B151/B156</f>
        <v>0.55113636363636365</v>
      </c>
      <c r="E151" s="21">
        <f>B29</f>
        <v>8450.3143929879479</v>
      </c>
      <c r="F151" s="26"/>
      <c r="G151" s="26">
        <f>B151-E151</f>
        <v>8039.6856070120521</v>
      </c>
      <c r="H151" s="18">
        <f>G151/B151</f>
        <v>0.4875491574901184</v>
      </c>
    </row>
    <row r="152" spans="1:8" s="18" customFormat="1" x14ac:dyDescent="0.25">
      <c r="A152" s="18" t="s">
        <v>143</v>
      </c>
      <c r="B152" s="26">
        <v>3142</v>
      </c>
      <c r="D152" s="20">
        <f>B152/B156</f>
        <v>0.10501336898395722</v>
      </c>
      <c r="E152" s="21">
        <f>B152</f>
        <v>3142</v>
      </c>
      <c r="F152" s="18">
        <f>E152*H152</f>
        <v>1610.120547166048</v>
      </c>
      <c r="H152" s="18">
        <f>1-H151</f>
        <v>0.5124508425098816</v>
      </c>
    </row>
    <row r="153" spans="1:8" s="18" customFormat="1" x14ac:dyDescent="0.25">
      <c r="A153" s="18" t="s">
        <v>146</v>
      </c>
      <c r="B153" s="26">
        <f>B151+B152</f>
        <v>19632</v>
      </c>
      <c r="D153" s="20">
        <f>B153/B156</f>
        <v>0.65614973262032084</v>
      </c>
      <c r="E153" s="21">
        <f>E151+E152</f>
        <v>11592.314392987948</v>
      </c>
    </row>
    <row r="154" spans="1:8" s="18" customFormat="1" x14ac:dyDescent="0.25">
      <c r="A154" s="18" t="s">
        <v>17</v>
      </c>
      <c r="B154" s="26">
        <v>4713</v>
      </c>
      <c r="D154" s="20">
        <f>B154/B156</f>
        <v>0.15752005347593584</v>
      </c>
      <c r="E154" s="21">
        <f>B55</f>
        <v>3471.2634494572076</v>
      </c>
    </row>
    <row r="155" spans="1:8" s="18" customFormat="1" x14ac:dyDescent="0.25">
      <c r="A155" s="18" t="s">
        <v>48</v>
      </c>
      <c r="B155" s="26">
        <v>5574</v>
      </c>
      <c r="D155" s="20">
        <f>B155/B156</f>
        <v>0.18629679144385028</v>
      </c>
      <c r="E155" s="21">
        <f>B155</f>
        <v>5574</v>
      </c>
    </row>
    <row r="156" spans="1:8" s="18" customFormat="1" x14ac:dyDescent="0.25">
      <c r="A156" s="18" t="s">
        <v>147</v>
      </c>
      <c r="B156" s="26">
        <f>B148</f>
        <v>29920</v>
      </c>
      <c r="E156" s="21">
        <f>E153+E154+E155</f>
        <v>20637.577842445156</v>
      </c>
      <c r="F156" s="26">
        <f>E151+F152+E154+E155</f>
        <v>19105.698389611203</v>
      </c>
      <c r="G156" s="20">
        <f>(B156-F156)/B156</f>
        <v>0.36144056184454537</v>
      </c>
    </row>
    <row r="157" spans="1:8" s="18" customFormat="1" x14ac:dyDescent="0.25"/>
    <row r="158" spans="1:8" s="18" customFormat="1" x14ac:dyDescent="0.25">
      <c r="A158" s="18" t="s">
        <v>71</v>
      </c>
      <c r="B158" s="20">
        <f>(B156-E156)/B156</f>
        <v>0.31024138227121806</v>
      </c>
    </row>
    <row r="159" spans="1:8" s="18" customFormat="1" x14ac:dyDescent="0.25">
      <c r="A159" s="18" t="s">
        <v>144</v>
      </c>
      <c r="B159" s="20">
        <f>((B151+B154)-(E151+E154))/(B151+B154)</f>
        <v>0.43774098748077367</v>
      </c>
    </row>
    <row r="160" spans="1:8" s="18" customFormat="1" x14ac:dyDescent="0.25">
      <c r="A160" s="18" t="s">
        <v>156</v>
      </c>
      <c r="B160" s="26">
        <f>B156-E156</f>
        <v>9282.4221575548436</v>
      </c>
    </row>
  </sheetData>
  <hyperlinks>
    <hyperlink ref="A24" r:id="rId1" xr:uid="{E1BB99FC-BADD-4DAF-A246-0B01A9E036F3}"/>
    <hyperlink ref="C34" r:id="rId2" xr:uid="{41B949E1-92D7-40D3-A678-AFE4D0E29F91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F71C9-CFB3-4782-9FCC-36DAC008808A}">
  <dimension ref="A1:AH434"/>
  <sheetViews>
    <sheetView topLeftCell="A370" workbookViewId="0">
      <selection activeCell="A174" sqref="A174:B177"/>
    </sheetView>
  </sheetViews>
  <sheetFormatPr defaultRowHeight="15" x14ac:dyDescent="0.25"/>
  <cols>
    <col min="2" max="2" width="12.140625" customWidth="1"/>
    <col min="6" max="6" width="10" customWidth="1"/>
  </cols>
  <sheetData>
    <row r="1" spans="1:13" x14ac:dyDescent="0.25">
      <c r="A1" s="1" t="s">
        <v>157</v>
      </c>
    </row>
    <row r="3" spans="1:13" s="29" customFormat="1" x14ac:dyDescent="0.25">
      <c r="A3" s="28" t="s">
        <v>30</v>
      </c>
    </row>
    <row r="4" spans="1:13" s="29" customFormat="1" x14ac:dyDescent="0.25"/>
    <row r="5" spans="1:13" s="29" customFormat="1" x14ac:dyDescent="0.25">
      <c r="A5" s="29" t="s">
        <v>162</v>
      </c>
      <c r="B5" s="29" t="s">
        <v>3</v>
      </c>
    </row>
    <row r="6" spans="1:13" s="29" customFormat="1" x14ac:dyDescent="0.25">
      <c r="B6" s="29" t="s">
        <v>158</v>
      </c>
    </row>
    <row r="7" spans="1:13" s="29" customFormat="1" x14ac:dyDescent="0.25"/>
    <row r="8" spans="1:13" s="29" customFormat="1" x14ac:dyDescent="0.25">
      <c r="B8" s="29">
        <v>2024</v>
      </c>
      <c r="C8" s="29">
        <f t="shared" ref="C8" si="0">B8+1</f>
        <v>2025</v>
      </c>
      <c r="D8" s="29">
        <f t="shared" ref="D8" si="1">C8+1</f>
        <v>2026</v>
      </c>
      <c r="E8" s="29">
        <f t="shared" ref="E8" si="2">D8+1</f>
        <v>2027</v>
      </c>
      <c r="F8" s="29">
        <f t="shared" ref="F8" si="3">E8+1</f>
        <v>2028</v>
      </c>
      <c r="G8" s="29">
        <f t="shared" ref="G8" si="4">F8+1</f>
        <v>2029</v>
      </c>
      <c r="H8" s="29">
        <f t="shared" ref="H8" si="5">G8+1</f>
        <v>2030</v>
      </c>
      <c r="I8" s="29">
        <f t="shared" ref="I8" si="6">H8+1</f>
        <v>2031</v>
      </c>
      <c r="J8" s="29">
        <f t="shared" ref="J8" si="7">I8+1</f>
        <v>2032</v>
      </c>
      <c r="K8" s="29">
        <f t="shared" ref="K8" si="8">J8+1</f>
        <v>2033</v>
      </c>
      <c r="L8" s="29" t="s">
        <v>2</v>
      </c>
    </row>
    <row r="9" spans="1:13" s="29" customFormat="1" x14ac:dyDescent="0.25">
      <c r="A9" s="29" t="s">
        <v>159</v>
      </c>
      <c r="B9" s="29">
        <v>2.8</v>
      </c>
      <c r="C9" s="29">
        <v>3.4</v>
      </c>
      <c r="D9" s="29">
        <v>3.3</v>
      </c>
      <c r="E9" s="29">
        <v>4</v>
      </c>
      <c r="F9" s="29">
        <v>4.4000000000000004</v>
      </c>
      <c r="G9" s="29">
        <v>4.4000000000000004</v>
      </c>
      <c r="H9" s="29">
        <v>4.3</v>
      </c>
      <c r="I9" s="29">
        <v>4.3</v>
      </c>
      <c r="J9" s="29">
        <v>4.2</v>
      </c>
      <c r="K9" s="29">
        <v>4.2</v>
      </c>
      <c r="L9" s="30">
        <f>AVERAGE(A9:K9)</f>
        <v>3.9300000000000006</v>
      </c>
      <c r="M9" s="30"/>
    </row>
    <row r="10" spans="1:13" s="29" customFormat="1" x14ac:dyDescent="0.25">
      <c r="A10" s="29" t="s">
        <v>160</v>
      </c>
      <c r="B10" s="29">
        <v>12.9</v>
      </c>
      <c r="C10" s="29">
        <v>14.9</v>
      </c>
      <c r="D10" s="29">
        <v>15</v>
      </c>
      <c r="E10" s="29">
        <v>15.1</v>
      </c>
      <c r="F10" s="29">
        <v>15.2</v>
      </c>
      <c r="G10" s="29">
        <v>15.2</v>
      </c>
      <c r="H10" s="29">
        <v>15.2</v>
      </c>
      <c r="I10" s="29">
        <v>15.2</v>
      </c>
      <c r="J10" s="29">
        <v>15.2</v>
      </c>
      <c r="K10" s="29">
        <v>15.2</v>
      </c>
    </row>
    <row r="11" spans="1:13" s="29" customFormat="1" x14ac:dyDescent="0.25">
      <c r="A11" s="29" t="s">
        <v>161</v>
      </c>
      <c r="B11" s="31">
        <f t="shared" ref="B11:K11" si="9">B9/B10</f>
        <v>0.21705426356589144</v>
      </c>
      <c r="C11" s="31">
        <f t="shared" si="9"/>
        <v>0.22818791946308722</v>
      </c>
      <c r="D11" s="31">
        <f t="shared" si="9"/>
        <v>0.22</v>
      </c>
      <c r="E11" s="31">
        <f t="shared" si="9"/>
        <v>0.26490066225165565</v>
      </c>
      <c r="F11" s="31">
        <f t="shared" si="9"/>
        <v>0.28947368421052633</v>
      </c>
      <c r="G11" s="31">
        <f t="shared" si="9"/>
        <v>0.28947368421052633</v>
      </c>
      <c r="H11" s="31">
        <f t="shared" si="9"/>
        <v>0.28289473684210525</v>
      </c>
      <c r="I11" s="31">
        <f t="shared" si="9"/>
        <v>0.28289473684210525</v>
      </c>
      <c r="J11" s="31">
        <f t="shared" si="9"/>
        <v>0.27631578947368424</v>
      </c>
      <c r="K11" s="31">
        <f t="shared" si="9"/>
        <v>0.27631578947368424</v>
      </c>
      <c r="L11" s="31">
        <f>AVERAGE(A11:K11)</f>
        <v>0.26275112663332656</v>
      </c>
      <c r="M11" s="31"/>
    </row>
    <row r="13" spans="1:13" s="8" customFormat="1" x14ac:dyDescent="0.25">
      <c r="A13" s="7" t="s">
        <v>31</v>
      </c>
    </row>
    <row r="14" spans="1:13" s="8" customFormat="1" x14ac:dyDescent="0.25"/>
    <row r="15" spans="1:13" s="8" customFormat="1" x14ac:dyDescent="0.25">
      <c r="A15" s="7" t="s">
        <v>23</v>
      </c>
    </row>
    <row r="16" spans="1:13" s="8" customFormat="1" x14ac:dyDescent="0.25"/>
    <row r="17" spans="1:18" s="8" customFormat="1" x14ac:dyDescent="0.25">
      <c r="A17" s="7" t="s">
        <v>163</v>
      </c>
    </row>
    <row r="18" spans="1:18" s="8" customFormat="1" x14ac:dyDescent="0.25"/>
    <row r="19" spans="1:18" s="8" customFormat="1" x14ac:dyDescent="0.25">
      <c r="A19" s="8" t="s">
        <v>164</v>
      </c>
    </row>
    <row r="20" spans="1:18" s="8" customFormat="1" x14ac:dyDescent="0.25">
      <c r="A20" s="8">
        <v>12550</v>
      </c>
      <c r="B20" s="8" t="s">
        <v>196</v>
      </c>
    </row>
    <row r="21" spans="1:18" s="8" customFormat="1" x14ac:dyDescent="0.25">
      <c r="B21" s="8" t="s">
        <v>3</v>
      </c>
    </row>
    <row r="22" spans="1:18" s="8" customFormat="1" x14ac:dyDescent="0.25">
      <c r="A22" s="7" t="s">
        <v>165</v>
      </c>
      <c r="B22" s="8" t="s">
        <v>169</v>
      </c>
    </row>
    <row r="23" spans="1:18" s="8" customFormat="1" x14ac:dyDescent="0.25"/>
    <row r="24" spans="1:18" s="8" customFormat="1" x14ac:dyDescent="0.25">
      <c r="B24" s="8">
        <v>2023</v>
      </c>
      <c r="C24" s="8">
        <f>B24+1</f>
        <v>2024</v>
      </c>
      <c r="D24" s="8">
        <f t="shared" ref="D24:R24" si="10">C24+1</f>
        <v>2025</v>
      </c>
      <c r="E24" s="8">
        <f t="shared" si="10"/>
        <v>2026</v>
      </c>
      <c r="F24" s="8">
        <f t="shared" si="10"/>
        <v>2027</v>
      </c>
      <c r="G24" s="8">
        <f t="shared" si="10"/>
        <v>2028</v>
      </c>
      <c r="H24" s="8">
        <f t="shared" si="10"/>
        <v>2029</v>
      </c>
      <c r="I24" s="8">
        <f t="shared" si="10"/>
        <v>2030</v>
      </c>
      <c r="J24" s="8">
        <f t="shared" si="10"/>
        <v>2031</v>
      </c>
      <c r="K24" s="8">
        <f t="shared" si="10"/>
        <v>2032</v>
      </c>
      <c r="L24" s="8">
        <f t="shared" si="10"/>
        <v>2033</v>
      </c>
      <c r="M24" s="8">
        <f t="shared" si="10"/>
        <v>2034</v>
      </c>
      <c r="N24" s="8">
        <f t="shared" si="10"/>
        <v>2035</v>
      </c>
      <c r="O24" s="8">
        <f t="shared" si="10"/>
        <v>2036</v>
      </c>
      <c r="P24" s="8">
        <f t="shared" si="10"/>
        <v>2037</v>
      </c>
      <c r="Q24" s="8">
        <f t="shared" si="10"/>
        <v>2038</v>
      </c>
      <c r="R24" s="8">
        <f t="shared" si="10"/>
        <v>2039</v>
      </c>
    </row>
    <row r="25" spans="1:18" s="8" customFormat="1" x14ac:dyDescent="0.25">
      <c r="A25" s="8" t="s">
        <v>68</v>
      </c>
      <c r="C25" s="8">
        <v>225</v>
      </c>
    </row>
    <row r="26" spans="1:18" s="8" customFormat="1" x14ac:dyDescent="0.25"/>
    <row r="27" spans="1:18" s="8" customFormat="1" x14ac:dyDescent="0.25">
      <c r="A27" s="7" t="s">
        <v>166</v>
      </c>
    </row>
    <row r="28" spans="1:18" s="8" customFormat="1" x14ac:dyDescent="0.25">
      <c r="A28" s="8" t="s">
        <v>69</v>
      </c>
      <c r="C28" s="8">
        <v>1678</v>
      </c>
      <c r="D28" s="8">
        <f>C28-C29</f>
        <v>1560.54</v>
      </c>
      <c r="E28" s="8">
        <f t="shared" ref="E28:H28" si="11">D28-D29</f>
        <v>1224.94</v>
      </c>
      <c r="F28" s="8">
        <f t="shared" si="11"/>
        <v>889.34</v>
      </c>
      <c r="G28" s="8">
        <f t="shared" si="11"/>
        <v>553.74</v>
      </c>
      <c r="H28" s="8">
        <f t="shared" si="11"/>
        <v>0</v>
      </c>
    </row>
    <row r="29" spans="1:18" s="8" customFormat="1" x14ac:dyDescent="0.25">
      <c r="A29" s="8" t="s">
        <v>29</v>
      </c>
      <c r="C29" s="8">
        <f>C28*0.07</f>
        <v>117.46000000000001</v>
      </c>
      <c r="D29" s="8">
        <f>C28*0.2</f>
        <v>335.6</v>
      </c>
      <c r="E29" s="8">
        <f t="shared" ref="E29:F29" si="12">D29</f>
        <v>335.6</v>
      </c>
      <c r="F29" s="8">
        <f t="shared" si="12"/>
        <v>335.6</v>
      </c>
      <c r="G29" s="8">
        <f>G28</f>
        <v>553.74</v>
      </c>
    </row>
    <row r="30" spans="1:18" s="8" customFormat="1" x14ac:dyDescent="0.25">
      <c r="A30" s="8" t="s">
        <v>70</v>
      </c>
      <c r="C30" s="8">
        <f>C28*(0.04/2)</f>
        <v>33.56</v>
      </c>
      <c r="D30" s="8">
        <f>D28*0.04</f>
        <v>62.421599999999998</v>
      </c>
      <c r="E30" s="8">
        <f t="shared" ref="E30:G30" si="13">E28*0.04</f>
        <v>48.997600000000006</v>
      </c>
      <c r="F30" s="8">
        <f t="shared" si="13"/>
        <v>35.573599999999999</v>
      </c>
      <c r="G30" s="8">
        <f t="shared" si="13"/>
        <v>22.1496</v>
      </c>
    </row>
    <row r="31" spans="1:18" s="8" customFormat="1" x14ac:dyDescent="0.25">
      <c r="A31" s="7"/>
    </row>
    <row r="32" spans="1:18" s="8" customFormat="1" x14ac:dyDescent="0.25">
      <c r="A32" s="7" t="s">
        <v>98</v>
      </c>
    </row>
    <row r="33" spans="1:16" s="8" customFormat="1" x14ac:dyDescent="0.25">
      <c r="A33" s="8" t="s">
        <v>69</v>
      </c>
      <c r="C33" s="8">
        <v>1300</v>
      </c>
      <c r="D33" s="8">
        <f>C33-C34</f>
        <v>1300</v>
      </c>
      <c r="E33" s="8">
        <f t="shared" ref="E33:J33" si="14">D33-D34</f>
        <v>1300</v>
      </c>
      <c r="F33" s="8">
        <f t="shared" si="14"/>
        <v>1300</v>
      </c>
      <c r="G33" s="8">
        <f t="shared" si="14"/>
        <v>1300</v>
      </c>
      <c r="H33" s="8">
        <f t="shared" si="14"/>
        <v>1300</v>
      </c>
      <c r="I33" s="8">
        <f t="shared" si="14"/>
        <v>650</v>
      </c>
      <c r="J33" s="8">
        <f t="shared" si="14"/>
        <v>0</v>
      </c>
    </row>
    <row r="34" spans="1:16" s="8" customFormat="1" x14ac:dyDescent="0.25">
      <c r="A34" s="8" t="s">
        <v>29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650</v>
      </c>
      <c r="I34" s="8">
        <v>650</v>
      </c>
    </row>
    <row r="35" spans="1:16" s="8" customFormat="1" x14ac:dyDescent="0.25">
      <c r="A35" s="8" t="s">
        <v>70</v>
      </c>
      <c r="C35" s="8">
        <f>C33*(0.031/2)</f>
        <v>20.149999999999999</v>
      </c>
      <c r="D35" s="8">
        <f>C33*0.031</f>
        <v>40.299999999999997</v>
      </c>
      <c r="E35" s="8">
        <f t="shared" ref="E35:F35" si="15">D33*0.031</f>
        <v>40.299999999999997</v>
      </c>
      <c r="F35" s="8">
        <f t="shared" si="15"/>
        <v>40.299999999999997</v>
      </c>
      <c r="G35" s="8">
        <f>F33*0.0335</f>
        <v>43.550000000000004</v>
      </c>
      <c r="H35" s="8">
        <f t="shared" ref="H35:I35" si="16">G33*0.0335</f>
        <v>43.550000000000004</v>
      </c>
      <c r="I35" s="8">
        <f t="shared" si="16"/>
        <v>43.550000000000004</v>
      </c>
    </row>
    <row r="36" spans="1:16" s="8" customFormat="1" x14ac:dyDescent="0.25"/>
    <row r="37" spans="1:16" s="8" customFormat="1" x14ac:dyDescent="0.25">
      <c r="A37" s="7" t="s">
        <v>101</v>
      </c>
    </row>
    <row r="38" spans="1:16" s="8" customFormat="1" x14ac:dyDescent="0.25">
      <c r="A38" s="8" t="s">
        <v>69</v>
      </c>
      <c r="C38" s="8">
        <v>2550</v>
      </c>
      <c r="D38" s="8">
        <f t="shared" ref="D38:M38" si="17">C38-C39</f>
        <v>2550</v>
      </c>
      <c r="E38" s="8">
        <f t="shared" si="17"/>
        <v>2550</v>
      </c>
      <c r="F38" s="8">
        <f t="shared" si="17"/>
        <v>2550</v>
      </c>
      <c r="G38" s="8">
        <f t="shared" si="17"/>
        <v>2550</v>
      </c>
      <c r="H38" s="8">
        <f t="shared" si="17"/>
        <v>2550</v>
      </c>
      <c r="I38" s="8">
        <f t="shared" si="17"/>
        <v>2550</v>
      </c>
      <c r="J38" s="8">
        <f t="shared" si="17"/>
        <v>2550</v>
      </c>
      <c r="K38" s="8">
        <f t="shared" si="17"/>
        <v>1700</v>
      </c>
      <c r="L38" s="8">
        <f t="shared" si="17"/>
        <v>850</v>
      </c>
      <c r="M38" s="8">
        <f t="shared" si="17"/>
        <v>0</v>
      </c>
    </row>
    <row r="39" spans="1:16" s="8" customFormat="1" x14ac:dyDescent="0.25">
      <c r="A39" s="8" t="s">
        <v>29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850</v>
      </c>
      <c r="K39" s="8">
        <v>850</v>
      </c>
      <c r="L39" s="8">
        <v>850</v>
      </c>
    </row>
    <row r="40" spans="1:16" s="8" customFormat="1" x14ac:dyDescent="0.25">
      <c r="A40" s="8" t="s">
        <v>70</v>
      </c>
      <c r="C40" s="8">
        <f>C38*(0.035/2)</f>
        <v>44.625000000000007</v>
      </c>
      <c r="D40" s="8">
        <f>C38*0.0335</f>
        <v>85.425000000000011</v>
      </c>
      <c r="E40" s="8">
        <f t="shared" ref="E40:F40" si="18">D38*0.0335</f>
        <v>85.425000000000011</v>
      </c>
      <c r="F40" s="8">
        <f t="shared" si="18"/>
        <v>85.425000000000011</v>
      </c>
      <c r="G40" s="8">
        <f>F38*0.036</f>
        <v>91.8</v>
      </c>
      <c r="H40" s="8">
        <f t="shared" ref="H40:K40" si="19">G38*0.036</f>
        <v>91.8</v>
      </c>
      <c r="I40" s="8">
        <f t="shared" si="19"/>
        <v>91.8</v>
      </c>
      <c r="J40" s="8">
        <f t="shared" si="19"/>
        <v>91.8</v>
      </c>
      <c r="K40" s="8">
        <f t="shared" si="19"/>
        <v>91.8</v>
      </c>
      <c r="L40" s="8">
        <f>K38*0.0875</f>
        <v>148.75</v>
      </c>
    </row>
    <row r="41" spans="1:16" s="8" customFormat="1" x14ac:dyDescent="0.25"/>
    <row r="42" spans="1:16" s="8" customFormat="1" x14ac:dyDescent="0.25">
      <c r="A42" s="7" t="s">
        <v>104</v>
      </c>
    </row>
    <row r="43" spans="1:16" s="8" customFormat="1" x14ac:dyDescent="0.25">
      <c r="A43" s="8" t="s">
        <v>69</v>
      </c>
      <c r="C43" s="8">
        <v>1722</v>
      </c>
      <c r="D43" s="8">
        <f t="shared" ref="D43:O43" si="20">C43-C44</f>
        <v>1722</v>
      </c>
      <c r="E43" s="8">
        <f t="shared" si="20"/>
        <v>1722</v>
      </c>
      <c r="F43" s="8">
        <f t="shared" si="20"/>
        <v>1722</v>
      </c>
      <c r="G43" s="8">
        <f t="shared" si="20"/>
        <v>1722</v>
      </c>
      <c r="H43" s="8">
        <f t="shared" si="20"/>
        <v>1722</v>
      </c>
      <c r="I43" s="8">
        <f t="shared" si="20"/>
        <v>1722</v>
      </c>
      <c r="J43" s="8">
        <f t="shared" si="20"/>
        <v>1722</v>
      </c>
      <c r="K43" s="8">
        <f t="shared" si="20"/>
        <v>1722</v>
      </c>
      <c r="L43" s="8">
        <f t="shared" si="20"/>
        <v>1722</v>
      </c>
      <c r="M43" s="8">
        <f t="shared" si="20"/>
        <v>1722</v>
      </c>
      <c r="N43" s="8">
        <f t="shared" si="20"/>
        <v>861</v>
      </c>
      <c r="O43" s="8">
        <f t="shared" si="20"/>
        <v>0</v>
      </c>
    </row>
    <row r="44" spans="1:16" s="8" customFormat="1" x14ac:dyDescent="0.25">
      <c r="A44" s="8" t="s">
        <v>29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861</v>
      </c>
      <c r="N44" s="8">
        <v>861</v>
      </c>
    </row>
    <row r="45" spans="1:16" s="8" customFormat="1" x14ac:dyDescent="0.25">
      <c r="A45" s="8" t="s">
        <v>70</v>
      </c>
      <c r="C45" s="8">
        <f>C43*(0.036/2)</f>
        <v>30.995999999999999</v>
      </c>
      <c r="D45" s="8">
        <f>C43*0.036</f>
        <v>61.991999999999997</v>
      </c>
      <c r="E45" s="8">
        <f t="shared" ref="E45:F45" si="21">D43*0.036</f>
        <v>61.991999999999997</v>
      </c>
      <c r="F45" s="8">
        <f t="shared" si="21"/>
        <v>61.991999999999997</v>
      </c>
      <c r="G45" s="8">
        <f>F43*0.051</f>
        <v>87.821999999999989</v>
      </c>
      <c r="H45" s="8">
        <f t="shared" ref="H45:K45" si="22">G43*0.051</f>
        <v>87.821999999999989</v>
      </c>
      <c r="I45" s="8">
        <f t="shared" si="22"/>
        <v>87.821999999999989</v>
      </c>
      <c r="J45" s="8">
        <f t="shared" si="22"/>
        <v>87.821999999999989</v>
      </c>
      <c r="K45" s="8">
        <f t="shared" si="22"/>
        <v>87.821999999999989</v>
      </c>
      <c r="L45" s="8">
        <f>K43*0.0925</f>
        <v>159.285</v>
      </c>
      <c r="M45" s="8">
        <f t="shared" ref="M45:N45" si="23">L43*0.0925</f>
        <v>159.285</v>
      </c>
      <c r="N45" s="8">
        <f t="shared" si="23"/>
        <v>159.285</v>
      </c>
    </row>
    <row r="46" spans="1:16" s="8" customFormat="1" x14ac:dyDescent="0.25"/>
    <row r="47" spans="1:16" s="8" customFormat="1" x14ac:dyDescent="0.25">
      <c r="A47" s="7" t="s">
        <v>107</v>
      </c>
    </row>
    <row r="48" spans="1:16" s="8" customFormat="1" x14ac:dyDescent="0.25">
      <c r="A48" s="8" t="s">
        <v>69</v>
      </c>
      <c r="C48" s="8">
        <v>1195</v>
      </c>
      <c r="D48" s="8">
        <f t="shared" ref="D48:P48" si="24">C48-C49</f>
        <v>1195</v>
      </c>
      <c r="E48" s="8">
        <f t="shared" si="24"/>
        <v>1195</v>
      </c>
      <c r="F48" s="8">
        <f t="shared" si="24"/>
        <v>1195</v>
      </c>
      <c r="G48" s="8">
        <f t="shared" si="24"/>
        <v>1195</v>
      </c>
      <c r="H48" s="8">
        <f t="shared" si="24"/>
        <v>1195</v>
      </c>
      <c r="I48" s="8">
        <f t="shared" si="24"/>
        <v>1195</v>
      </c>
      <c r="J48" s="8">
        <f t="shared" si="24"/>
        <v>1195</v>
      </c>
      <c r="K48" s="8">
        <f t="shared" si="24"/>
        <v>1195</v>
      </c>
      <c r="L48" s="8">
        <f t="shared" si="24"/>
        <v>1195</v>
      </c>
      <c r="M48" s="8">
        <f t="shared" si="24"/>
        <v>1195</v>
      </c>
      <c r="N48" s="8">
        <f t="shared" si="24"/>
        <v>1195</v>
      </c>
      <c r="O48" s="8">
        <f t="shared" si="24"/>
        <v>1195</v>
      </c>
      <c r="P48" s="8">
        <f t="shared" si="24"/>
        <v>0</v>
      </c>
    </row>
    <row r="49" spans="1:19" s="8" customFormat="1" x14ac:dyDescent="0.25">
      <c r="A49" s="8" t="s">
        <v>29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1195</v>
      </c>
    </row>
    <row r="50" spans="1:19" s="8" customFormat="1" x14ac:dyDescent="0.25">
      <c r="A50" s="8" t="s">
        <v>70</v>
      </c>
      <c r="C50" s="8">
        <f>C48*(0.036/2)</f>
        <v>21.509999999999998</v>
      </c>
      <c r="D50" s="8">
        <f>C48*0.036</f>
        <v>43.019999999999996</v>
      </c>
      <c r="E50" s="8">
        <f t="shared" ref="E50:F50" si="25">D48*0.036</f>
        <v>43.019999999999996</v>
      </c>
      <c r="F50" s="8">
        <f t="shared" si="25"/>
        <v>43.019999999999996</v>
      </c>
      <c r="G50" s="8">
        <f>G48*0.0385</f>
        <v>46.0075</v>
      </c>
      <c r="H50" s="8">
        <f t="shared" ref="H50:K50" si="26">H48*0.0385</f>
        <v>46.0075</v>
      </c>
      <c r="I50" s="8">
        <f t="shared" si="26"/>
        <v>46.0075</v>
      </c>
      <c r="J50" s="8">
        <f t="shared" si="26"/>
        <v>46.0075</v>
      </c>
      <c r="K50" s="8">
        <f t="shared" si="26"/>
        <v>46.0075</v>
      </c>
      <c r="L50" s="8">
        <f>L48*0.095</f>
        <v>113.52500000000001</v>
      </c>
      <c r="M50" s="8">
        <f t="shared" ref="M50:O50" si="27">M48*0.095</f>
        <v>113.52500000000001</v>
      </c>
      <c r="N50" s="8">
        <f t="shared" si="27"/>
        <v>113.52500000000001</v>
      </c>
      <c r="O50" s="8">
        <f t="shared" si="27"/>
        <v>113.52500000000001</v>
      </c>
    </row>
    <row r="51" spans="1:19" s="8" customFormat="1" x14ac:dyDescent="0.25"/>
    <row r="52" spans="1:19" s="8" customFormat="1" x14ac:dyDescent="0.25">
      <c r="A52" s="7" t="s">
        <v>109</v>
      </c>
    </row>
    <row r="53" spans="1:19" s="8" customFormat="1" x14ac:dyDescent="0.25">
      <c r="A53" s="8" t="s">
        <v>69</v>
      </c>
      <c r="C53" s="8">
        <v>2392</v>
      </c>
      <c r="D53" s="8">
        <f t="shared" ref="D53:R53" si="28">C53-C54</f>
        <v>2392</v>
      </c>
      <c r="E53" s="8">
        <f t="shared" si="28"/>
        <v>2392</v>
      </c>
      <c r="F53" s="8">
        <f t="shared" si="28"/>
        <v>2392</v>
      </c>
      <c r="G53" s="8">
        <f t="shared" si="28"/>
        <v>2392</v>
      </c>
      <c r="H53" s="8">
        <f t="shared" si="28"/>
        <v>2392</v>
      </c>
      <c r="I53" s="8">
        <f t="shared" si="28"/>
        <v>2392</v>
      </c>
      <c r="J53" s="8">
        <f t="shared" si="28"/>
        <v>2392</v>
      </c>
      <c r="K53" s="8">
        <f t="shared" si="28"/>
        <v>2392</v>
      </c>
      <c r="L53" s="8">
        <f t="shared" si="28"/>
        <v>2392</v>
      </c>
      <c r="M53" s="8">
        <f t="shared" si="28"/>
        <v>2392</v>
      </c>
      <c r="N53" s="8">
        <f t="shared" si="28"/>
        <v>2392</v>
      </c>
      <c r="O53" s="8">
        <f t="shared" si="28"/>
        <v>2392</v>
      </c>
      <c r="P53" s="8">
        <f t="shared" si="28"/>
        <v>2392</v>
      </c>
      <c r="Q53" s="8">
        <f t="shared" si="28"/>
        <v>1196</v>
      </c>
      <c r="R53" s="8">
        <f t="shared" si="28"/>
        <v>0</v>
      </c>
    </row>
    <row r="54" spans="1:19" s="8" customFormat="1" x14ac:dyDescent="0.25">
      <c r="A54" s="8" t="s">
        <v>29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v>1196</v>
      </c>
      <c r="Q54" s="8">
        <v>1196</v>
      </c>
    </row>
    <row r="55" spans="1:19" s="8" customFormat="1" x14ac:dyDescent="0.25">
      <c r="A55" s="8" t="s">
        <v>70</v>
      </c>
      <c r="C55" s="8">
        <f>C53*(0.036/2)</f>
        <v>43.055999999999997</v>
      </c>
      <c r="D55" s="8">
        <f>C53*0.036</f>
        <v>86.111999999999995</v>
      </c>
      <c r="E55" s="8">
        <f t="shared" ref="E55:F55" si="29">D53*0.036</f>
        <v>86.111999999999995</v>
      </c>
      <c r="F55" s="8">
        <f t="shared" si="29"/>
        <v>86.111999999999995</v>
      </c>
      <c r="G55" s="8">
        <f>G53*0.0385</f>
        <v>92.091999999999999</v>
      </c>
      <c r="H55" s="8">
        <f t="shared" ref="H55:K55" si="30">H53*0.0385</f>
        <v>92.091999999999999</v>
      </c>
      <c r="I55" s="8">
        <f t="shared" si="30"/>
        <v>92.091999999999999</v>
      </c>
      <c r="J55" s="8">
        <f t="shared" si="30"/>
        <v>92.091999999999999</v>
      </c>
      <c r="K55" s="8">
        <f t="shared" si="30"/>
        <v>92.091999999999999</v>
      </c>
      <c r="L55" s="8">
        <f>L53*0.0975</f>
        <v>233.22</v>
      </c>
      <c r="M55" s="8">
        <f t="shared" ref="M55:Q55" si="31">M53*0.0975</f>
        <v>233.22</v>
      </c>
      <c r="N55" s="8">
        <f t="shared" si="31"/>
        <v>233.22</v>
      </c>
      <c r="O55" s="8">
        <f t="shared" si="31"/>
        <v>233.22</v>
      </c>
      <c r="P55" s="8">
        <f t="shared" si="31"/>
        <v>233.22</v>
      </c>
      <c r="Q55" s="8">
        <f t="shared" si="31"/>
        <v>116.61</v>
      </c>
    </row>
    <row r="56" spans="1:19" s="8" customFormat="1" x14ac:dyDescent="0.25"/>
    <row r="57" spans="1:19" s="8" customFormat="1" x14ac:dyDescent="0.25">
      <c r="A57" s="8" t="s">
        <v>13</v>
      </c>
      <c r="B57" s="8">
        <f>B29+B30+B34+B35+B39+B40+B44+B45+B49+B50+B54+B55</f>
        <v>0</v>
      </c>
      <c r="C57" s="8">
        <f>C25+C29+C30+C34+C35+C39+C40+C44+C45+C49+C50+C54+C55</f>
        <v>536.35699999999997</v>
      </c>
      <c r="D57" s="8">
        <f t="shared" ref="D57:Q57" si="32">D25+D29+D30+D34+D35+D39+D40+D44+D45+D49+D50+D54+D55</f>
        <v>714.87059999999997</v>
      </c>
      <c r="E57" s="8">
        <f t="shared" si="32"/>
        <v>701.44659999999999</v>
      </c>
      <c r="F57" s="8">
        <f t="shared" si="32"/>
        <v>688.02260000000001</v>
      </c>
      <c r="G57" s="8">
        <f t="shared" si="32"/>
        <v>937.16109999999992</v>
      </c>
      <c r="H57" s="8">
        <f t="shared" si="32"/>
        <v>1011.2714999999999</v>
      </c>
      <c r="I57" s="8">
        <f t="shared" si="32"/>
        <v>1011.2714999999999</v>
      </c>
      <c r="J57" s="8">
        <f t="shared" si="32"/>
        <v>1167.7214999999999</v>
      </c>
      <c r="K57" s="8">
        <f t="shared" si="32"/>
        <v>1167.7214999999999</v>
      </c>
      <c r="L57" s="8">
        <f t="shared" si="32"/>
        <v>1504.7800000000002</v>
      </c>
      <c r="M57" s="8">
        <f t="shared" si="32"/>
        <v>1367.03</v>
      </c>
      <c r="N57" s="8">
        <f t="shared" si="32"/>
        <v>1367.03</v>
      </c>
      <c r="O57" s="8">
        <f t="shared" si="32"/>
        <v>1541.7450000000001</v>
      </c>
      <c r="P57" s="8">
        <f t="shared" si="32"/>
        <v>1429.22</v>
      </c>
      <c r="Q57" s="8">
        <f t="shared" si="32"/>
        <v>1312.61</v>
      </c>
      <c r="R57" s="8">
        <f t="shared" ref="R57:S57" si="33">R29+R30+R34+R35+R39+R40+R44+R45+R49+R50+R54+R55</f>
        <v>0</v>
      </c>
      <c r="S57" s="8">
        <f t="shared" si="33"/>
        <v>0</v>
      </c>
    </row>
    <row r="58" spans="1:19" s="8" customFormat="1" x14ac:dyDescent="0.25"/>
    <row r="59" spans="1:19" s="8" customFormat="1" x14ac:dyDescent="0.25">
      <c r="A59" s="8" t="s">
        <v>14</v>
      </c>
      <c r="B59" s="8">
        <v>0.05</v>
      </c>
    </row>
    <row r="60" spans="1:19" s="8" customFormat="1" x14ac:dyDescent="0.25"/>
    <row r="61" spans="1:19" s="8" customFormat="1" x14ac:dyDescent="0.25">
      <c r="A61" s="8" t="s">
        <v>15</v>
      </c>
      <c r="B61" s="10">
        <f>NPV(B59,B57:Q57)</f>
        <v>10225.756211142381</v>
      </c>
    </row>
    <row r="62" spans="1:19" s="8" customFormat="1" x14ac:dyDescent="0.25"/>
    <row r="63" spans="1:19" s="8" customFormat="1" x14ac:dyDescent="0.25">
      <c r="A63" s="8" t="s">
        <v>83</v>
      </c>
      <c r="B63" s="11">
        <f>B61/12550</f>
        <v>0.81480129172449256</v>
      </c>
    </row>
    <row r="64" spans="1:19" s="8" customFormat="1" x14ac:dyDescent="0.25">
      <c r="A64" s="7"/>
    </row>
    <row r="65" spans="1:18" s="8" customFormat="1" x14ac:dyDescent="0.25">
      <c r="A65" s="7" t="s">
        <v>167</v>
      </c>
    </row>
    <row r="66" spans="1:18" s="8" customFormat="1" x14ac:dyDescent="0.25"/>
    <row r="67" spans="1:18" s="8" customFormat="1" x14ac:dyDescent="0.25">
      <c r="B67" s="8">
        <v>2023</v>
      </c>
      <c r="C67" s="8">
        <f>B67+1</f>
        <v>2024</v>
      </c>
      <c r="D67" s="8">
        <f t="shared" ref="D67:R67" si="34">C67+1</f>
        <v>2025</v>
      </c>
      <c r="E67" s="8">
        <f t="shared" si="34"/>
        <v>2026</v>
      </c>
      <c r="F67" s="8">
        <f t="shared" si="34"/>
        <v>2027</v>
      </c>
      <c r="G67" s="8">
        <f t="shared" si="34"/>
        <v>2028</v>
      </c>
      <c r="H67" s="8">
        <f t="shared" si="34"/>
        <v>2029</v>
      </c>
      <c r="I67" s="8">
        <f t="shared" si="34"/>
        <v>2030</v>
      </c>
      <c r="J67" s="8">
        <f t="shared" si="34"/>
        <v>2031</v>
      </c>
      <c r="K67" s="8">
        <f t="shared" si="34"/>
        <v>2032</v>
      </c>
      <c r="L67" s="8">
        <f t="shared" si="34"/>
        <v>2033</v>
      </c>
      <c r="M67" s="8">
        <f t="shared" si="34"/>
        <v>2034</v>
      </c>
      <c r="N67" s="8">
        <f t="shared" si="34"/>
        <v>2035</v>
      </c>
      <c r="O67" s="8">
        <f t="shared" si="34"/>
        <v>2036</v>
      </c>
      <c r="P67" s="8">
        <f t="shared" si="34"/>
        <v>2037</v>
      </c>
      <c r="Q67" s="8">
        <f t="shared" si="34"/>
        <v>2038</v>
      </c>
      <c r="R67" s="8">
        <f t="shared" si="34"/>
        <v>2039</v>
      </c>
    </row>
    <row r="68" spans="1:18" s="8" customFormat="1" x14ac:dyDescent="0.25">
      <c r="A68" s="8" t="s">
        <v>68</v>
      </c>
      <c r="C68" s="8">
        <v>225</v>
      </c>
    </row>
    <row r="69" spans="1:18" s="8" customFormat="1" x14ac:dyDescent="0.25"/>
    <row r="70" spans="1:18" s="8" customFormat="1" x14ac:dyDescent="0.25">
      <c r="A70" s="7" t="s">
        <v>166</v>
      </c>
    </row>
    <row r="71" spans="1:18" s="8" customFormat="1" x14ac:dyDescent="0.25">
      <c r="A71" s="8" t="s">
        <v>69</v>
      </c>
      <c r="C71" s="8">
        <v>1678</v>
      </c>
      <c r="D71" s="8">
        <f>C71-C72</f>
        <v>1560.54</v>
      </c>
      <c r="E71" s="8">
        <f t="shared" ref="E71:H71" si="35">D71-D72</f>
        <v>1224.94</v>
      </c>
      <c r="F71" s="8">
        <f t="shared" si="35"/>
        <v>889.34</v>
      </c>
      <c r="G71" s="8">
        <f t="shared" si="35"/>
        <v>553.74</v>
      </c>
      <c r="H71" s="8">
        <f t="shared" si="35"/>
        <v>0</v>
      </c>
    </row>
    <row r="72" spans="1:18" s="8" customFormat="1" x14ac:dyDescent="0.25">
      <c r="A72" s="8" t="s">
        <v>29</v>
      </c>
      <c r="C72" s="8">
        <f>C71*0.07</f>
        <v>117.46000000000001</v>
      </c>
      <c r="D72" s="8">
        <f>C71*0.2</f>
        <v>335.6</v>
      </c>
      <c r="E72" s="8">
        <f t="shared" ref="E72:F72" si="36">D72</f>
        <v>335.6</v>
      </c>
      <c r="F72" s="8">
        <f t="shared" si="36"/>
        <v>335.6</v>
      </c>
      <c r="G72" s="8">
        <f>G71</f>
        <v>553.74</v>
      </c>
    </row>
    <row r="73" spans="1:18" s="8" customFormat="1" x14ac:dyDescent="0.25">
      <c r="A73" s="8" t="s">
        <v>70</v>
      </c>
      <c r="C73" s="8">
        <f>C71*(0.04/2)</f>
        <v>33.56</v>
      </c>
      <c r="D73" s="8">
        <f>D71*0.04</f>
        <v>62.421599999999998</v>
      </c>
      <c r="E73" s="8">
        <f t="shared" ref="E73:G73" si="37">E71*0.04</f>
        <v>48.997600000000006</v>
      </c>
      <c r="F73" s="8">
        <f t="shared" si="37"/>
        <v>35.573599999999999</v>
      </c>
      <c r="G73" s="8">
        <f t="shared" si="37"/>
        <v>22.1496</v>
      </c>
    </row>
    <row r="74" spans="1:18" s="8" customFormat="1" x14ac:dyDescent="0.25">
      <c r="A74" s="7"/>
    </row>
    <row r="75" spans="1:18" s="8" customFormat="1" x14ac:dyDescent="0.25">
      <c r="A75" s="7" t="s">
        <v>98</v>
      </c>
    </row>
    <row r="76" spans="1:18" s="8" customFormat="1" x14ac:dyDescent="0.25">
      <c r="A76" s="8" t="s">
        <v>69</v>
      </c>
      <c r="C76" s="8">
        <v>1300</v>
      </c>
      <c r="D76" s="8">
        <f>C76-C77</f>
        <v>1300</v>
      </c>
      <c r="E76" s="8">
        <f t="shared" ref="E76:F76" si="38">D76-D77</f>
        <v>1300</v>
      </c>
      <c r="F76" s="8">
        <f t="shared" si="38"/>
        <v>1300</v>
      </c>
      <c r="G76" s="8">
        <f>F76*1.17</f>
        <v>1521</v>
      </c>
      <c r="H76" s="8">
        <f t="shared" ref="H76:J76" si="39">G76-G77</f>
        <v>1521</v>
      </c>
      <c r="I76" s="8">
        <f t="shared" si="39"/>
        <v>760.5</v>
      </c>
      <c r="J76" s="8">
        <f t="shared" si="39"/>
        <v>0</v>
      </c>
    </row>
    <row r="77" spans="1:18" s="8" customFormat="1" x14ac:dyDescent="0.25">
      <c r="A77" s="8" t="s">
        <v>29</v>
      </c>
      <c r="C77" s="8">
        <v>0</v>
      </c>
      <c r="D77" s="8">
        <v>0</v>
      </c>
      <c r="E77" s="8">
        <v>0</v>
      </c>
      <c r="F77" s="8">
        <v>0</v>
      </c>
      <c r="G77" s="8">
        <v>0</v>
      </c>
      <c r="H77" s="8">
        <f>G76/2</f>
        <v>760.5</v>
      </c>
      <c r="I77" s="8">
        <f>H77</f>
        <v>760.5</v>
      </c>
    </row>
    <row r="78" spans="1:18" s="8" customFormat="1" x14ac:dyDescent="0.25">
      <c r="A78" s="8" t="s">
        <v>70</v>
      </c>
      <c r="C78" s="8">
        <f>C76*(0.031/2)</f>
        <v>20.149999999999999</v>
      </c>
      <c r="D78" s="8">
        <f>C76*0.031</f>
        <v>40.299999999999997</v>
      </c>
      <c r="E78" s="8">
        <f t="shared" ref="E78:F78" si="40">D76*0.031</f>
        <v>40.299999999999997</v>
      </c>
      <c r="F78" s="8">
        <f t="shared" si="40"/>
        <v>40.299999999999997</v>
      </c>
      <c r="G78" s="8">
        <f>G76*0.047</f>
        <v>71.486999999999995</v>
      </c>
      <c r="H78" s="8">
        <f t="shared" ref="H78:I78" si="41">G76*0.047</f>
        <v>71.486999999999995</v>
      </c>
      <c r="I78" s="8">
        <f t="shared" si="41"/>
        <v>71.486999999999995</v>
      </c>
    </row>
    <row r="79" spans="1:18" s="8" customFormat="1" x14ac:dyDescent="0.25"/>
    <row r="80" spans="1:18" s="8" customFormat="1" x14ac:dyDescent="0.25">
      <c r="A80" s="7" t="s">
        <v>101</v>
      </c>
    </row>
    <row r="81" spans="1:18" s="8" customFormat="1" x14ac:dyDescent="0.25">
      <c r="A81" s="8" t="s">
        <v>69</v>
      </c>
      <c r="C81" s="8">
        <v>2550</v>
      </c>
      <c r="D81" s="8">
        <f t="shared" ref="D81:F81" si="42">C81-C82</f>
        <v>2550</v>
      </c>
      <c r="E81" s="8">
        <f t="shared" si="42"/>
        <v>2550</v>
      </c>
      <c r="F81" s="8">
        <f t="shared" si="42"/>
        <v>2550</v>
      </c>
      <c r="G81" s="8">
        <f>F81*1.17</f>
        <v>2983.5</v>
      </c>
      <c r="H81" s="8">
        <f t="shared" ref="H81:M81" si="43">G81-G82</f>
        <v>2983.5</v>
      </c>
      <c r="I81" s="8">
        <f t="shared" si="43"/>
        <v>2983.5</v>
      </c>
      <c r="J81" s="8">
        <f t="shared" si="43"/>
        <v>2983.5</v>
      </c>
      <c r="K81" s="8">
        <f t="shared" si="43"/>
        <v>1989</v>
      </c>
      <c r="L81" s="8">
        <f t="shared" si="43"/>
        <v>994.5</v>
      </c>
      <c r="M81" s="8">
        <f t="shared" si="43"/>
        <v>0</v>
      </c>
    </row>
    <row r="82" spans="1:18" s="8" customFormat="1" x14ac:dyDescent="0.25">
      <c r="A82" s="8" t="s">
        <v>29</v>
      </c>
      <c r="C82" s="8">
        <v>0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  <c r="J82" s="8">
        <f>I81/3</f>
        <v>994.5</v>
      </c>
      <c r="K82" s="8">
        <f>J82</f>
        <v>994.5</v>
      </c>
      <c r="L82" s="8">
        <f>K82</f>
        <v>994.5</v>
      </c>
    </row>
    <row r="83" spans="1:18" s="8" customFormat="1" x14ac:dyDescent="0.25">
      <c r="A83" s="8" t="s">
        <v>70</v>
      </c>
      <c r="C83" s="8">
        <f>C81*(0.035/2)</f>
        <v>44.625000000000007</v>
      </c>
      <c r="D83" s="8">
        <f>C81*0.0335</f>
        <v>85.425000000000011</v>
      </c>
      <c r="E83" s="8">
        <f t="shared" ref="E83:F83" si="44">D81*0.0335</f>
        <v>85.425000000000011</v>
      </c>
      <c r="F83" s="8">
        <f t="shared" si="44"/>
        <v>85.425000000000011</v>
      </c>
      <c r="G83" s="8">
        <f>G81*0.051</f>
        <v>152.1585</v>
      </c>
      <c r="H83" s="8">
        <f t="shared" ref="H83:K83" si="45">H81*0.051</f>
        <v>152.1585</v>
      </c>
      <c r="I83" s="8">
        <f t="shared" si="45"/>
        <v>152.1585</v>
      </c>
      <c r="J83" s="8">
        <f t="shared" si="45"/>
        <v>152.1585</v>
      </c>
      <c r="K83" s="8">
        <f t="shared" si="45"/>
        <v>101.43899999999999</v>
      </c>
      <c r="L83" s="8">
        <f>L81*0.0875</f>
        <v>87.018749999999997</v>
      </c>
    </row>
    <row r="84" spans="1:18" s="8" customFormat="1" x14ac:dyDescent="0.25"/>
    <row r="85" spans="1:18" s="8" customFormat="1" x14ac:dyDescent="0.25">
      <c r="A85" s="7" t="s">
        <v>104</v>
      </c>
    </row>
    <row r="86" spans="1:18" s="8" customFormat="1" x14ac:dyDescent="0.25">
      <c r="A86" s="8" t="s">
        <v>69</v>
      </c>
      <c r="C86" s="8">
        <v>1722</v>
      </c>
      <c r="D86" s="8">
        <f t="shared" ref="D86:O86" si="46">C86-C87</f>
        <v>1722</v>
      </c>
      <c r="E86" s="8">
        <f t="shared" si="46"/>
        <v>1722</v>
      </c>
      <c r="F86" s="8">
        <f t="shared" si="46"/>
        <v>1722</v>
      </c>
      <c r="G86" s="8">
        <f t="shared" si="46"/>
        <v>1722</v>
      </c>
      <c r="H86" s="8">
        <f t="shared" si="46"/>
        <v>1722</v>
      </c>
      <c r="I86" s="8">
        <f t="shared" si="46"/>
        <v>1722</v>
      </c>
      <c r="J86" s="8">
        <f t="shared" si="46"/>
        <v>1722</v>
      </c>
      <c r="K86" s="8">
        <f t="shared" si="46"/>
        <v>1722</v>
      </c>
      <c r="L86" s="8">
        <f t="shared" si="46"/>
        <v>1722</v>
      </c>
      <c r="M86" s="8">
        <f t="shared" si="46"/>
        <v>1722</v>
      </c>
      <c r="N86" s="8">
        <f t="shared" si="46"/>
        <v>861</v>
      </c>
      <c r="O86" s="8">
        <f t="shared" si="46"/>
        <v>0</v>
      </c>
    </row>
    <row r="87" spans="1:18" s="8" customFormat="1" x14ac:dyDescent="0.25">
      <c r="A87" s="8" t="s">
        <v>29</v>
      </c>
      <c r="C87" s="8">
        <v>0</v>
      </c>
      <c r="D87" s="8">
        <v>0</v>
      </c>
      <c r="E87" s="8">
        <v>0</v>
      </c>
      <c r="F87" s="8">
        <v>0</v>
      </c>
      <c r="G87" s="8">
        <v>0</v>
      </c>
      <c r="H87" s="8">
        <v>0</v>
      </c>
      <c r="I87" s="8">
        <v>0</v>
      </c>
      <c r="J87" s="8">
        <v>0</v>
      </c>
      <c r="K87" s="8">
        <v>0</v>
      </c>
      <c r="L87" s="8">
        <v>0</v>
      </c>
      <c r="M87" s="8">
        <v>861</v>
      </c>
      <c r="N87" s="8">
        <v>861</v>
      </c>
    </row>
    <row r="88" spans="1:18" s="8" customFormat="1" x14ac:dyDescent="0.25">
      <c r="A88" s="8" t="s">
        <v>70</v>
      </c>
      <c r="C88" s="8">
        <f>C86*(0.036/2)</f>
        <v>30.995999999999999</v>
      </c>
      <c r="D88" s="8">
        <f>C86*0.036</f>
        <v>61.991999999999997</v>
      </c>
      <c r="E88" s="8">
        <f t="shared" ref="E88:F88" si="47">D86*0.036</f>
        <v>61.991999999999997</v>
      </c>
      <c r="F88" s="8">
        <f t="shared" si="47"/>
        <v>61.991999999999997</v>
      </c>
      <c r="G88" s="8">
        <f>F86*0.051</f>
        <v>87.821999999999989</v>
      </c>
      <c r="H88" s="8">
        <f t="shared" ref="H88:K88" si="48">G86*0.051</f>
        <v>87.821999999999989</v>
      </c>
      <c r="I88" s="8">
        <f t="shared" si="48"/>
        <v>87.821999999999989</v>
      </c>
      <c r="J88" s="8">
        <f t="shared" si="48"/>
        <v>87.821999999999989</v>
      </c>
      <c r="K88" s="8">
        <f t="shared" si="48"/>
        <v>87.821999999999989</v>
      </c>
      <c r="L88" s="8">
        <f>K86*0.0925</f>
        <v>159.285</v>
      </c>
      <c r="M88" s="8">
        <f t="shared" ref="M88:N88" si="49">L86*0.0925</f>
        <v>159.285</v>
      </c>
      <c r="N88" s="8">
        <f t="shared" si="49"/>
        <v>159.285</v>
      </c>
    </row>
    <row r="89" spans="1:18" s="8" customFormat="1" x14ac:dyDescent="0.25"/>
    <row r="90" spans="1:18" s="8" customFormat="1" x14ac:dyDescent="0.25">
      <c r="A90" s="7" t="s">
        <v>107</v>
      </c>
    </row>
    <row r="91" spans="1:18" s="8" customFormat="1" x14ac:dyDescent="0.25">
      <c r="A91" s="8" t="s">
        <v>69</v>
      </c>
      <c r="C91" s="8">
        <v>1195</v>
      </c>
      <c r="D91" s="8">
        <f t="shared" ref="D91:F91" si="50">C91-C92</f>
        <v>1195</v>
      </c>
      <c r="E91" s="8">
        <f t="shared" si="50"/>
        <v>1195</v>
      </c>
      <c r="F91" s="8">
        <f t="shared" si="50"/>
        <v>1195</v>
      </c>
      <c r="G91" s="8">
        <f>F91*1.22</f>
        <v>1457.8999999999999</v>
      </c>
      <c r="H91" s="8">
        <f t="shared" ref="H91:P91" si="51">G91-G92</f>
        <v>1457.8999999999999</v>
      </c>
      <c r="I91" s="8">
        <f t="shared" si="51"/>
        <v>1457.8999999999999</v>
      </c>
      <c r="J91" s="8">
        <f t="shared" si="51"/>
        <v>1457.8999999999999</v>
      </c>
      <c r="K91" s="8">
        <f t="shared" si="51"/>
        <v>1457.8999999999999</v>
      </c>
      <c r="L91" s="8">
        <f t="shared" si="51"/>
        <v>1457.8999999999999</v>
      </c>
      <c r="M91" s="8">
        <f t="shared" si="51"/>
        <v>1457.8999999999999</v>
      </c>
      <c r="N91" s="8">
        <f t="shared" si="51"/>
        <v>1457.8999999999999</v>
      </c>
      <c r="O91" s="8">
        <f t="shared" si="51"/>
        <v>1457.8999999999999</v>
      </c>
      <c r="P91" s="8">
        <f t="shared" si="51"/>
        <v>0</v>
      </c>
    </row>
    <row r="92" spans="1:18" s="8" customFormat="1" x14ac:dyDescent="0.25">
      <c r="A92" s="8" t="s">
        <v>29</v>
      </c>
      <c r="C92" s="8">
        <v>0</v>
      </c>
      <c r="D92" s="8">
        <v>0</v>
      </c>
      <c r="E92" s="8">
        <v>0</v>
      </c>
      <c r="F92" s="8">
        <v>0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8">
        <f>N91</f>
        <v>1457.8999999999999</v>
      </c>
    </row>
    <row r="93" spans="1:18" s="8" customFormat="1" x14ac:dyDescent="0.25">
      <c r="A93" s="8" t="s">
        <v>70</v>
      </c>
      <c r="C93" s="8">
        <f>C91*(0.036/2)</f>
        <v>21.509999999999998</v>
      </c>
      <c r="D93" s="8">
        <f>C91*0.036</f>
        <v>43.019999999999996</v>
      </c>
      <c r="E93" s="8">
        <f t="shared" ref="E93:F93" si="52">D91*0.036</f>
        <v>43.019999999999996</v>
      </c>
      <c r="F93" s="8">
        <f t="shared" si="52"/>
        <v>43.019999999999996</v>
      </c>
      <c r="G93" s="8">
        <f>G91*0.0585</f>
        <v>85.287149999999997</v>
      </c>
      <c r="H93" s="8">
        <f t="shared" ref="H93:K93" si="53">H91*0.0585</f>
        <v>85.287149999999997</v>
      </c>
      <c r="I93" s="8">
        <f t="shared" si="53"/>
        <v>85.287149999999997</v>
      </c>
      <c r="J93" s="8">
        <f t="shared" si="53"/>
        <v>85.287149999999997</v>
      </c>
      <c r="K93" s="8">
        <f t="shared" si="53"/>
        <v>85.287149999999997</v>
      </c>
      <c r="L93" s="8">
        <f>L91*0.095</f>
        <v>138.50049999999999</v>
      </c>
      <c r="M93" s="8">
        <f t="shared" ref="M93:O93" si="54">M91*0.095</f>
        <v>138.50049999999999</v>
      </c>
      <c r="N93" s="8">
        <f t="shared" si="54"/>
        <v>138.50049999999999</v>
      </c>
      <c r="O93" s="8">
        <f t="shared" si="54"/>
        <v>138.50049999999999</v>
      </c>
    </row>
    <row r="94" spans="1:18" s="8" customFormat="1" x14ac:dyDescent="0.25"/>
    <row r="95" spans="1:18" s="8" customFormat="1" x14ac:dyDescent="0.25">
      <c r="A95" s="7" t="s">
        <v>109</v>
      </c>
    </row>
    <row r="96" spans="1:18" s="8" customFormat="1" x14ac:dyDescent="0.25">
      <c r="A96" s="8" t="s">
        <v>69</v>
      </c>
      <c r="C96" s="8">
        <v>2392</v>
      </c>
      <c r="D96" s="8">
        <f t="shared" ref="D96:F96" si="55">C96-C97</f>
        <v>2392</v>
      </c>
      <c r="E96" s="8">
        <f t="shared" si="55"/>
        <v>2392</v>
      </c>
      <c r="F96" s="8">
        <f t="shared" si="55"/>
        <v>2392</v>
      </c>
      <c r="G96" s="8">
        <f>F96*1.22</f>
        <v>2918.24</v>
      </c>
      <c r="H96" s="8">
        <f t="shared" ref="H96:R96" si="56">G96-G97</f>
        <v>2918.24</v>
      </c>
      <c r="I96" s="8">
        <f t="shared" si="56"/>
        <v>2918.24</v>
      </c>
      <c r="J96" s="8">
        <f t="shared" si="56"/>
        <v>2918.24</v>
      </c>
      <c r="K96" s="8">
        <f t="shared" si="56"/>
        <v>2918.24</v>
      </c>
      <c r="L96" s="8">
        <f t="shared" si="56"/>
        <v>2918.24</v>
      </c>
      <c r="M96" s="8">
        <f t="shared" si="56"/>
        <v>2918.24</v>
      </c>
      <c r="N96" s="8">
        <f t="shared" si="56"/>
        <v>2918.24</v>
      </c>
      <c r="O96" s="8">
        <f t="shared" si="56"/>
        <v>2918.24</v>
      </c>
      <c r="P96" s="8">
        <f t="shared" si="56"/>
        <v>2918.24</v>
      </c>
      <c r="Q96" s="8">
        <f t="shared" si="56"/>
        <v>1459.12</v>
      </c>
      <c r="R96" s="8">
        <f t="shared" si="56"/>
        <v>0</v>
      </c>
    </row>
    <row r="97" spans="1:18" s="8" customFormat="1" x14ac:dyDescent="0.25">
      <c r="A97" s="8" t="s">
        <v>29</v>
      </c>
      <c r="C97" s="8">
        <v>0</v>
      </c>
      <c r="D97" s="8">
        <v>0</v>
      </c>
      <c r="E97" s="8">
        <v>0</v>
      </c>
      <c r="F97" s="8">
        <v>0</v>
      </c>
      <c r="G97" s="8">
        <v>0</v>
      </c>
      <c r="H97" s="8">
        <v>0</v>
      </c>
      <c r="I97" s="8">
        <v>0</v>
      </c>
      <c r="J97" s="8">
        <v>0</v>
      </c>
      <c r="K97" s="8">
        <v>0</v>
      </c>
      <c r="L97" s="8">
        <v>0</v>
      </c>
      <c r="M97" s="8">
        <v>0</v>
      </c>
      <c r="N97" s="8">
        <v>0</v>
      </c>
      <c r="O97" s="8">
        <v>0</v>
      </c>
      <c r="P97" s="8">
        <f>O96/2</f>
        <v>1459.12</v>
      </c>
      <c r="Q97" s="8">
        <f>P97</f>
        <v>1459.12</v>
      </c>
    </row>
    <row r="98" spans="1:18" s="8" customFormat="1" x14ac:dyDescent="0.25">
      <c r="A98" s="8" t="s">
        <v>70</v>
      </c>
      <c r="C98" s="8">
        <f>C96*(0.036/2)</f>
        <v>43.055999999999997</v>
      </c>
      <c r="D98" s="8">
        <f>C96*0.036</f>
        <v>86.111999999999995</v>
      </c>
      <c r="E98" s="8">
        <f t="shared" ref="E98:F98" si="57">D96*0.036</f>
        <v>86.111999999999995</v>
      </c>
      <c r="F98" s="8">
        <f t="shared" si="57"/>
        <v>86.111999999999995</v>
      </c>
      <c r="G98" s="8">
        <f>G96*0.0585</f>
        <v>170.71704</v>
      </c>
      <c r="H98" s="8">
        <f t="shared" ref="H98:K98" si="58">H96*0.0585</f>
        <v>170.71704</v>
      </c>
      <c r="I98" s="8">
        <f t="shared" si="58"/>
        <v>170.71704</v>
      </c>
      <c r="J98" s="8">
        <f t="shared" si="58"/>
        <v>170.71704</v>
      </c>
      <c r="K98" s="8">
        <f t="shared" si="58"/>
        <v>170.71704</v>
      </c>
      <c r="L98" s="8">
        <f>L96*0.0975</f>
        <v>284.52839999999998</v>
      </c>
      <c r="M98" s="8">
        <f t="shared" ref="M98:Q98" si="59">M96*0.0975</f>
        <v>284.52839999999998</v>
      </c>
      <c r="N98" s="8">
        <f t="shared" si="59"/>
        <v>284.52839999999998</v>
      </c>
      <c r="O98" s="8">
        <f t="shared" si="59"/>
        <v>284.52839999999998</v>
      </c>
      <c r="P98" s="8">
        <f t="shared" si="59"/>
        <v>284.52839999999998</v>
      </c>
      <c r="Q98" s="8">
        <f t="shared" si="59"/>
        <v>142.26419999999999</v>
      </c>
    </row>
    <row r="99" spans="1:18" s="8" customFormat="1" x14ac:dyDescent="0.25"/>
    <row r="100" spans="1:18" s="8" customFormat="1" x14ac:dyDescent="0.25">
      <c r="A100" s="8" t="s">
        <v>13</v>
      </c>
      <c r="B100" s="8">
        <f>B72+B73+B77+B78+B82+B83+B87+B88+B92+B93+B97+B98</f>
        <v>0</v>
      </c>
      <c r="C100" s="8">
        <f>C68+C72+C73+C77+C78+C82+C83+C87+C88+C92+C93+C97+C98</f>
        <v>536.35699999999997</v>
      </c>
      <c r="D100" s="8">
        <f t="shared" ref="D100:Q100" si="60">D68+D72+D73+D77+D78+D82+D83+D87+D88+D92+D93+D97+D98</f>
        <v>714.87059999999997</v>
      </c>
      <c r="E100" s="8">
        <f t="shared" si="60"/>
        <v>701.44659999999999</v>
      </c>
      <c r="F100" s="8">
        <f t="shared" si="60"/>
        <v>688.02260000000001</v>
      </c>
      <c r="G100" s="8">
        <f t="shared" si="60"/>
        <v>1143.3612899999998</v>
      </c>
      <c r="H100" s="8">
        <f t="shared" si="60"/>
        <v>1327.9716899999999</v>
      </c>
      <c r="I100" s="8">
        <f t="shared" si="60"/>
        <v>1327.9716899999999</v>
      </c>
      <c r="J100" s="8">
        <f t="shared" si="60"/>
        <v>1490.4846899999998</v>
      </c>
      <c r="K100" s="8">
        <f t="shared" si="60"/>
        <v>1439.7651900000001</v>
      </c>
      <c r="L100" s="8">
        <f t="shared" si="60"/>
        <v>1663.8326500000001</v>
      </c>
      <c r="M100" s="8">
        <f t="shared" si="60"/>
        <v>1443.3138999999999</v>
      </c>
      <c r="N100" s="8">
        <f t="shared" si="60"/>
        <v>1443.3138999999999</v>
      </c>
      <c r="O100" s="8">
        <f t="shared" si="60"/>
        <v>1880.9288999999997</v>
      </c>
      <c r="P100" s="8">
        <f t="shared" si="60"/>
        <v>1743.6483999999998</v>
      </c>
      <c r="Q100" s="8">
        <f t="shared" si="60"/>
        <v>1601.3842</v>
      </c>
      <c r="R100" s="8">
        <f t="shared" ref="R100" si="61">R72+R73+R77+R78+R82+R83+R87+R88+R92+R93+R97+R98</f>
        <v>0</v>
      </c>
    </row>
    <row r="101" spans="1:18" s="8" customFormat="1" x14ac:dyDescent="0.25"/>
    <row r="102" spans="1:18" s="8" customFormat="1" x14ac:dyDescent="0.25">
      <c r="A102" s="8" t="s">
        <v>14</v>
      </c>
      <c r="B102" s="8">
        <v>0.05</v>
      </c>
    </row>
    <row r="103" spans="1:18" s="8" customFormat="1" x14ac:dyDescent="0.25"/>
    <row r="104" spans="1:18" s="8" customFormat="1" x14ac:dyDescent="0.25">
      <c r="A104" s="8" t="s">
        <v>15</v>
      </c>
      <c r="B104" s="10">
        <f>NPV(B102,B100:Q100)</f>
        <v>11824.895935475028</v>
      </c>
    </row>
    <row r="105" spans="1:18" s="8" customFormat="1" x14ac:dyDescent="0.25"/>
    <row r="106" spans="1:18" s="8" customFormat="1" x14ac:dyDescent="0.25">
      <c r="A106" s="8" t="s">
        <v>83</v>
      </c>
      <c r="B106" s="11">
        <f>B104/12550</f>
        <v>0.94222278370318946</v>
      </c>
    </row>
    <row r="107" spans="1:18" s="8" customFormat="1" x14ac:dyDescent="0.25"/>
    <row r="108" spans="1:18" s="8" customFormat="1" x14ac:dyDescent="0.25">
      <c r="A108" s="7" t="s">
        <v>168</v>
      </c>
    </row>
    <row r="109" spans="1:18" s="8" customFormat="1" x14ac:dyDescent="0.25"/>
    <row r="110" spans="1:18" s="8" customFormat="1" x14ac:dyDescent="0.25">
      <c r="B110" s="8">
        <v>2023</v>
      </c>
      <c r="C110" s="8">
        <f>B110+1</f>
        <v>2024</v>
      </c>
      <c r="D110" s="8">
        <f t="shared" ref="D110:R110" si="62">C110+1</f>
        <v>2025</v>
      </c>
      <c r="E110" s="8">
        <f t="shared" si="62"/>
        <v>2026</v>
      </c>
      <c r="F110" s="8">
        <f t="shared" si="62"/>
        <v>2027</v>
      </c>
      <c r="G110" s="8">
        <f t="shared" si="62"/>
        <v>2028</v>
      </c>
      <c r="H110" s="8">
        <f t="shared" si="62"/>
        <v>2029</v>
      </c>
      <c r="I110" s="8">
        <f t="shared" si="62"/>
        <v>2030</v>
      </c>
      <c r="J110" s="8">
        <f t="shared" si="62"/>
        <v>2031</v>
      </c>
      <c r="K110" s="8">
        <f t="shared" si="62"/>
        <v>2032</v>
      </c>
      <c r="L110" s="8">
        <f t="shared" si="62"/>
        <v>2033</v>
      </c>
      <c r="M110" s="8">
        <f t="shared" si="62"/>
        <v>2034</v>
      </c>
      <c r="N110" s="8">
        <f t="shared" si="62"/>
        <v>2035</v>
      </c>
      <c r="O110" s="8">
        <f t="shared" si="62"/>
        <v>2036</v>
      </c>
      <c r="P110" s="8">
        <f t="shared" si="62"/>
        <v>2037</v>
      </c>
      <c r="Q110" s="8">
        <f t="shared" si="62"/>
        <v>2038</v>
      </c>
      <c r="R110" s="8">
        <f t="shared" si="62"/>
        <v>2039</v>
      </c>
    </row>
    <row r="111" spans="1:18" s="8" customFormat="1" x14ac:dyDescent="0.25">
      <c r="A111" s="8" t="s">
        <v>68</v>
      </c>
      <c r="C111" s="8">
        <v>225</v>
      </c>
    </row>
    <row r="112" spans="1:18" s="8" customFormat="1" x14ac:dyDescent="0.25"/>
    <row r="113" spans="1:13" s="8" customFormat="1" x14ac:dyDescent="0.25">
      <c r="A113" s="7" t="s">
        <v>166</v>
      </c>
    </row>
    <row r="114" spans="1:13" s="8" customFormat="1" x14ac:dyDescent="0.25">
      <c r="A114" s="8" t="s">
        <v>69</v>
      </c>
      <c r="C114" s="8">
        <v>1678</v>
      </c>
      <c r="D114" s="8">
        <f>C114-C115</f>
        <v>1560.54</v>
      </c>
      <c r="E114" s="8">
        <f t="shared" ref="E114:H114" si="63">D114-D115</f>
        <v>1224.94</v>
      </c>
      <c r="F114" s="8">
        <f t="shared" si="63"/>
        <v>889.34</v>
      </c>
      <c r="G114" s="8">
        <f t="shared" si="63"/>
        <v>553.74</v>
      </c>
      <c r="H114" s="8">
        <f t="shared" si="63"/>
        <v>0</v>
      </c>
    </row>
    <row r="115" spans="1:13" s="8" customFormat="1" x14ac:dyDescent="0.25">
      <c r="A115" s="8" t="s">
        <v>29</v>
      </c>
      <c r="C115" s="8">
        <f>C114*0.07</f>
        <v>117.46000000000001</v>
      </c>
      <c r="D115" s="8">
        <f>C114*0.2</f>
        <v>335.6</v>
      </c>
      <c r="E115" s="8">
        <f t="shared" ref="E115:F115" si="64">D115</f>
        <v>335.6</v>
      </c>
      <c r="F115" s="8">
        <f t="shared" si="64"/>
        <v>335.6</v>
      </c>
      <c r="G115" s="8">
        <f>G114</f>
        <v>553.74</v>
      </c>
    </row>
    <row r="116" spans="1:13" s="8" customFormat="1" x14ac:dyDescent="0.25">
      <c r="A116" s="8" t="s">
        <v>70</v>
      </c>
      <c r="C116" s="8">
        <f>C114*(0.04/2)</f>
        <v>33.56</v>
      </c>
      <c r="D116" s="8">
        <f>D114*0.04</f>
        <v>62.421599999999998</v>
      </c>
      <c r="E116" s="8">
        <f t="shared" ref="E116:G116" si="65">E114*0.04</f>
        <v>48.997600000000006</v>
      </c>
      <c r="F116" s="8">
        <f t="shared" si="65"/>
        <v>35.573599999999999</v>
      </c>
      <c r="G116" s="8">
        <f t="shared" si="65"/>
        <v>22.1496</v>
      </c>
    </row>
    <row r="117" spans="1:13" s="8" customFormat="1" x14ac:dyDescent="0.25">
      <c r="A117" s="7"/>
    </row>
    <row r="118" spans="1:13" s="8" customFormat="1" x14ac:dyDescent="0.25">
      <c r="A118" s="7" t="s">
        <v>98</v>
      </c>
    </row>
    <row r="119" spans="1:13" s="8" customFormat="1" x14ac:dyDescent="0.25">
      <c r="A119" s="8" t="s">
        <v>69</v>
      </c>
      <c r="C119" s="8">
        <v>1300</v>
      </c>
      <c r="D119" s="8">
        <f>C119-C120</f>
        <v>1300</v>
      </c>
      <c r="E119" s="8">
        <f t="shared" ref="E119:F119" si="66">D119-D120</f>
        <v>1300</v>
      </c>
      <c r="F119" s="8">
        <f t="shared" si="66"/>
        <v>1300</v>
      </c>
      <c r="G119" s="8">
        <f>F119*0.79</f>
        <v>1027</v>
      </c>
      <c r="H119" s="8">
        <f t="shared" ref="H119:J119" si="67">G119-G120</f>
        <v>1027</v>
      </c>
      <c r="I119" s="8">
        <f t="shared" si="67"/>
        <v>513.5</v>
      </c>
      <c r="J119" s="8">
        <f t="shared" si="67"/>
        <v>0</v>
      </c>
    </row>
    <row r="120" spans="1:13" s="8" customFormat="1" x14ac:dyDescent="0.25">
      <c r="A120" s="8" t="s">
        <v>29</v>
      </c>
      <c r="C120" s="8">
        <v>0</v>
      </c>
      <c r="D120" s="8">
        <v>0</v>
      </c>
      <c r="E120" s="8">
        <v>0</v>
      </c>
      <c r="F120" s="8">
        <v>0</v>
      </c>
      <c r="G120" s="8">
        <v>0</v>
      </c>
      <c r="H120" s="8">
        <f>G119/2</f>
        <v>513.5</v>
      </c>
      <c r="I120" s="8">
        <f>H120</f>
        <v>513.5</v>
      </c>
    </row>
    <row r="121" spans="1:13" s="8" customFormat="1" x14ac:dyDescent="0.25">
      <c r="A121" s="8" t="s">
        <v>70</v>
      </c>
      <c r="C121" s="8">
        <f>C119*(0.031/2)</f>
        <v>20.149999999999999</v>
      </c>
      <c r="D121" s="8">
        <f>C119*0.031</f>
        <v>40.299999999999997</v>
      </c>
      <c r="E121" s="8">
        <f t="shared" ref="E121:F121" si="68">D119*0.031</f>
        <v>40.299999999999997</v>
      </c>
      <c r="F121" s="8">
        <f t="shared" si="68"/>
        <v>40.299999999999997</v>
      </c>
      <c r="G121" s="8">
        <f>F119*0.0335</f>
        <v>43.550000000000004</v>
      </c>
      <c r="H121" s="8">
        <f t="shared" ref="H121:I121" si="69">G119*0.0335</f>
        <v>34.404499999999999</v>
      </c>
      <c r="I121" s="8">
        <f t="shared" si="69"/>
        <v>34.404499999999999</v>
      </c>
    </row>
    <row r="122" spans="1:13" s="8" customFormat="1" x14ac:dyDescent="0.25"/>
    <row r="123" spans="1:13" s="8" customFormat="1" x14ac:dyDescent="0.25">
      <c r="A123" s="7" t="s">
        <v>101</v>
      </c>
    </row>
    <row r="124" spans="1:13" s="8" customFormat="1" x14ac:dyDescent="0.25">
      <c r="A124" s="8" t="s">
        <v>69</v>
      </c>
      <c r="C124" s="8">
        <v>2550</v>
      </c>
      <c r="D124" s="8">
        <f t="shared" ref="D124:F124" si="70">C124-C125</f>
        <v>2550</v>
      </c>
      <c r="E124" s="8">
        <f t="shared" si="70"/>
        <v>2550</v>
      </c>
      <c r="F124" s="8">
        <f t="shared" si="70"/>
        <v>2550</v>
      </c>
      <c r="G124" s="8">
        <f>F124*0.79</f>
        <v>2014.5</v>
      </c>
      <c r="H124" s="8">
        <f t="shared" ref="H124:M124" si="71">G124-G125</f>
        <v>2014.5</v>
      </c>
      <c r="I124" s="8">
        <f t="shared" si="71"/>
        <v>2014.5</v>
      </c>
      <c r="J124" s="8">
        <f t="shared" si="71"/>
        <v>2014.5</v>
      </c>
      <c r="K124" s="8">
        <f t="shared" si="71"/>
        <v>1343</v>
      </c>
      <c r="L124" s="8">
        <f t="shared" si="71"/>
        <v>671.5</v>
      </c>
      <c r="M124" s="8">
        <f t="shared" si="71"/>
        <v>0</v>
      </c>
    </row>
    <row r="125" spans="1:13" s="8" customFormat="1" x14ac:dyDescent="0.25">
      <c r="A125" s="8" t="s">
        <v>29</v>
      </c>
      <c r="C125" s="8">
        <v>0</v>
      </c>
      <c r="D125" s="8">
        <v>0</v>
      </c>
      <c r="E125" s="8">
        <v>0</v>
      </c>
      <c r="F125" s="8">
        <v>0</v>
      </c>
      <c r="G125" s="8">
        <v>0</v>
      </c>
      <c r="H125" s="8">
        <v>0</v>
      </c>
      <c r="I125" s="8">
        <v>0</v>
      </c>
      <c r="J125" s="8">
        <f>I124/3</f>
        <v>671.5</v>
      </c>
      <c r="K125" s="8">
        <f>J125</f>
        <v>671.5</v>
      </c>
      <c r="L125" s="8">
        <f>K125</f>
        <v>671.5</v>
      </c>
    </row>
    <row r="126" spans="1:13" s="8" customFormat="1" x14ac:dyDescent="0.25">
      <c r="A126" s="8" t="s">
        <v>70</v>
      </c>
      <c r="C126" s="8">
        <f>C124*(0.035/2)</f>
        <v>44.625000000000007</v>
      </c>
      <c r="D126" s="8">
        <f>C124*0.0335</f>
        <v>85.425000000000011</v>
      </c>
      <c r="E126" s="8">
        <f t="shared" ref="E126:F126" si="72">D124*0.0335</f>
        <v>85.425000000000011</v>
      </c>
      <c r="F126" s="8">
        <f t="shared" si="72"/>
        <v>85.425000000000011</v>
      </c>
      <c r="G126" s="8">
        <f>F124*0.036</f>
        <v>91.8</v>
      </c>
      <c r="H126" s="8">
        <f t="shared" ref="H126:K126" si="73">G124*0.036</f>
        <v>72.521999999999991</v>
      </c>
      <c r="I126" s="8">
        <f t="shared" si="73"/>
        <v>72.521999999999991</v>
      </c>
      <c r="J126" s="8">
        <f t="shared" si="73"/>
        <v>72.521999999999991</v>
      </c>
      <c r="K126" s="8">
        <f t="shared" si="73"/>
        <v>72.521999999999991</v>
      </c>
      <c r="L126" s="8">
        <f>K124*0.0875</f>
        <v>117.51249999999999</v>
      </c>
    </row>
    <row r="127" spans="1:13" s="8" customFormat="1" x14ac:dyDescent="0.25"/>
    <row r="128" spans="1:13" s="8" customFormat="1" x14ac:dyDescent="0.25">
      <c r="A128" s="7" t="s">
        <v>104</v>
      </c>
    </row>
    <row r="129" spans="1:18" s="8" customFormat="1" x14ac:dyDescent="0.25">
      <c r="A129" s="8" t="s">
        <v>69</v>
      </c>
      <c r="C129" s="8">
        <v>1722</v>
      </c>
      <c r="D129" s="8">
        <f t="shared" ref="D129:O129" si="74">C129-C130</f>
        <v>1722</v>
      </c>
      <c r="E129" s="8">
        <f t="shared" si="74"/>
        <v>1722</v>
      </c>
      <c r="F129" s="8">
        <f t="shared" si="74"/>
        <v>1722</v>
      </c>
      <c r="G129" s="8">
        <f t="shared" si="74"/>
        <v>1722</v>
      </c>
      <c r="H129" s="8">
        <f t="shared" si="74"/>
        <v>1722</v>
      </c>
      <c r="I129" s="8">
        <f t="shared" si="74"/>
        <v>1722</v>
      </c>
      <c r="J129" s="8">
        <f t="shared" si="74"/>
        <v>1722</v>
      </c>
      <c r="K129" s="8">
        <f t="shared" si="74"/>
        <v>1722</v>
      </c>
      <c r="L129" s="8">
        <f t="shared" si="74"/>
        <v>1722</v>
      </c>
      <c r="M129" s="8">
        <f t="shared" si="74"/>
        <v>1722</v>
      </c>
      <c r="N129" s="8">
        <f t="shared" si="74"/>
        <v>861</v>
      </c>
      <c r="O129" s="8">
        <f t="shared" si="74"/>
        <v>0</v>
      </c>
    </row>
    <row r="130" spans="1:18" s="8" customFormat="1" x14ac:dyDescent="0.25">
      <c r="A130" s="8" t="s">
        <v>29</v>
      </c>
      <c r="C130" s="8">
        <v>0</v>
      </c>
      <c r="D130" s="8">
        <v>0</v>
      </c>
      <c r="E130" s="8">
        <v>0</v>
      </c>
      <c r="F130" s="8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861</v>
      </c>
      <c r="N130" s="8">
        <v>861</v>
      </c>
    </row>
    <row r="131" spans="1:18" s="8" customFormat="1" x14ac:dyDescent="0.25">
      <c r="A131" s="8" t="s">
        <v>70</v>
      </c>
      <c r="C131" s="8">
        <f>C129*(0.036/2)</f>
        <v>30.995999999999999</v>
      </c>
      <c r="D131" s="8">
        <f>C129*0.036</f>
        <v>61.991999999999997</v>
      </c>
      <c r="E131" s="8">
        <f t="shared" ref="E131:F131" si="75">D129*0.036</f>
        <v>61.991999999999997</v>
      </c>
      <c r="F131" s="8">
        <f t="shared" si="75"/>
        <v>61.991999999999997</v>
      </c>
      <c r="G131" s="8">
        <f>F129*0.051</f>
        <v>87.821999999999989</v>
      </c>
      <c r="H131" s="8">
        <f t="shared" ref="H131:K131" si="76">G129*0.051</f>
        <v>87.821999999999989</v>
      </c>
      <c r="I131" s="8">
        <f t="shared" si="76"/>
        <v>87.821999999999989</v>
      </c>
      <c r="J131" s="8">
        <f t="shared" si="76"/>
        <v>87.821999999999989</v>
      </c>
      <c r="K131" s="8">
        <f t="shared" si="76"/>
        <v>87.821999999999989</v>
      </c>
      <c r="L131" s="8">
        <f>K129*0.0925</f>
        <v>159.285</v>
      </c>
      <c r="M131" s="8">
        <f t="shared" ref="M131:N131" si="77">L129*0.0925</f>
        <v>159.285</v>
      </c>
      <c r="N131" s="8">
        <f t="shared" si="77"/>
        <v>159.285</v>
      </c>
    </row>
    <row r="132" spans="1:18" s="8" customFormat="1" x14ac:dyDescent="0.25"/>
    <row r="133" spans="1:18" s="8" customFormat="1" x14ac:dyDescent="0.25">
      <c r="A133" s="7" t="s">
        <v>107</v>
      </c>
    </row>
    <row r="134" spans="1:18" s="8" customFormat="1" x14ac:dyDescent="0.25">
      <c r="A134" s="8" t="s">
        <v>69</v>
      </c>
      <c r="C134" s="8">
        <v>1195</v>
      </c>
      <c r="D134" s="8">
        <f t="shared" ref="D134:F134" si="78">C134-C135</f>
        <v>1195</v>
      </c>
      <c r="E134" s="8">
        <f t="shared" si="78"/>
        <v>1195</v>
      </c>
      <c r="F134" s="8">
        <f t="shared" si="78"/>
        <v>1195</v>
      </c>
      <c r="G134" s="8">
        <f>F134*0.79</f>
        <v>944.05000000000007</v>
      </c>
      <c r="H134" s="8">
        <f t="shared" ref="H134:P134" si="79">G134-G135</f>
        <v>944.05000000000007</v>
      </c>
      <c r="I134" s="8">
        <f t="shared" si="79"/>
        <v>944.05000000000007</v>
      </c>
      <c r="J134" s="8">
        <f t="shared" si="79"/>
        <v>944.05000000000007</v>
      </c>
      <c r="K134" s="8">
        <f t="shared" si="79"/>
        <v>944.05000000000007</v>
      </c>
      <c r="L134" s="8">
        <f t="shared" si="79"/>
        <v>944.05000000000007</v>
      </c>
      <c r="M134" s="8">
        <f t="shared" si="79"/>
        <v>944.05000000000007</v>
      </c>
      <c r="N134" s="8">
        <f t="shared" si="79"/>
        <v>944.05000000000007</v>
      </c>
      <c r="O134" s="8">
        <f t="shared" si="79"/>
        <v>944.05000000000007</v>
      </c>
      <c r="P134" s="8">
        <f t="shared" si="79"/>
        <v>0</v>
      </c>
    </row>
    <row r="135" spans="1:18" s="8" customFormat="1" x14ac:dyDescent="0.25">
      <c r="A135" s="8" t="s">
        <v>29</v>
      </c>
      <c r="C135" s="8">
        <v>0</v>
      </c>
      <c r="D135" s="8">
        <v>0</v>
      </c>
      <c r="E135" s="8">
        <v>0</v>
      </c>
      <c r="F135" s="8">
        <v>0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8">
        <v>0</v>
      </c>
      <c r="M135" s="8">
        <v>0</v>
      </c>
      <c r="N135" s="8">
        <v>0</v>
      </c>
      <c r="O135" s="8">
        <f>N134</f>
        <v>944.05000000000007</v>
      </c>
    </row>
    <row r="136" spans="1:18" s="8" customFormat="1" x14ac:dyDescent="0.25">
      <c r="A136" s="8" t="s">
        <v>70</v>
      </c>
      <c r="C136" s="8">
        <f>C134*(0.036/2)</f>
        <v>21.509999999999998</v>
      </c>
      <c r="D136" s="8">
        <f>C134*0.036</f>
        <v>43.019999999999996</v>
      </c>
      <c r="E136" s="8">
        <f t="shared" ref="E136:F136" si="80">D134*0.036</f>
        <v>43.019999999999996</v>
      </c>
      <c r="F136" s="8">
        <f t="shared" si="80"/>
        <v>43.019999999999996</v>
      </c>
      <c r="G136" s="8">
        <f>G134*0.0385</f>
        <v>36.345925000000001</v>
      </c>
      <c r="H136" s="8">
        <f t="shared" ref="H136:K136" si="81">H134*0.0385</f>
        <v>36.345925000000001</v>
      </c>
      <c r="I136" s="8">
        <f t="shared" si="81"/>
        <v>36.345925000000001</v>
      </c>
      <c r="J136" s="8">
        <f t="shared" si="81"/>
        <v>36.345925000000001</v>
      </c>
      <c r="K136" s="8">
        <f t="shared" si="81"/>
        <v>36.345925000000001</v>
      </c>
      <c r="L136" s="8">
        <f>L134*0.095</f>
        <v>89.684750000000008</v>
      </c>
      <c r="M136" s="8">
        <f t="shared" ref="M136:O136" si="82">M134*0.095</f>
        <v>89.684750000000008</v>
      </c>
      <c r="N136" s="8">
        <f t="shared" si="82"/>
        <v>89.684750000000008</v>
      </c>
      <c r="O136" s="8">
        <f t="shared" si="82"/>
        <v>89.684750000000008</v>
      </c>
    </row>
    <row r="137" spans="1:18" s="8" customFormat="1" x14ac:dyDescent="0.25"/>
    <row r="138" spans="1:18" s="8" customFormat="1" x14ac:dyDescent="0.25">
      <c r="A138" s="7" t="s">
        <v>109</v>
      </c>
    </row>
    <row r="139" spans="1:18" s="8" customFormat="1" x14ac:dyDescent="0.25">
      <c r="A139" s="8" t="s">
        <v>69</v>
      </c>
      <c r="C139" s="8">
        <v>2392</v>
      </c>
      <c r="D139" s="8">
        <f t="shared" ref="D139:F139" si="83">C139-C140</f>
        <v>2392</v>
      </c>
      <c r="E139" s="8">
        <f t="shared" si="83"/>
        <v>2392</v>
      </c>
      <c r="F139" s="8">
        <f t="shared" si="83"/>
        <v>2392</v>
      </c>
      <c r="G139" s="8">
        <f>F139*0.79</f>
        <v>1889.68</v>
      </c>
      <c r="H139" s="8">
        <f t="shared" ref="H139:R139" si="84">G139-G140</f>
        <v>1889.68</v>
      </c>
      <c r="I139" s="8">
        <f t="shared" si="84"/>
        <v>1889.68</v>
      </c>
      <c r="J139" s="8">
        <f t="shared" si="84"/>
        <v>1889.68</v>
      </c>
      <c r="K139" s="8">
        <f t="shared" si="84"/>
        <v>1889.68</v>
      </c>
      <c r="L139" s="8">
        <f t="shared" si="84"/>
        <v>1889.68</v>
      </c>
      <c r="M139" s="8">
        <f t="shared" si="84"/>
        <v>1889.68</v>
      </c>
      <c r="N139" s="8">
        <f t="shared" si="84"/>
        <v>1889.68</v>
      </c>
      <c r="O139" s="8">
        <f t="shared" si="84"/>
        <v>1889.68</v>
      </c>
      <c r="P139" s="8">
        <f t="shared" si="84"/>
        <v>1889.68</v>
      </c>
      <c r="Q139" s="8">
        <f t="shared" si="84"/>
        <v>944.84</v>
      </c>
      <c r="R139" s="8">
        <f t="shared" si="84"/>
        <v>0</v>
      </c>
    </row>
    <row r="140" spans="1:18" s="8" customFormat="1" x14ac:dyDescent="0.25">
      <c r="A140" s="8" t="s">
        <v>29</v>
      </c>
      <c r="C140" s="8">
        <v>0</v>
      </c>
      <c r="D140" s="8">
        <v>0</v>
      </c>
      <c r="E140" s="8">
        <v>0</v>
      </c>
      <c r="F140" s="8">
        <v>0</v>
      </c>
      <c r="G140" s="8">
        <v>0</v>
      </c>
      <c r="H140" s="8">
        <v>0</v>
      </c>
      <c r="I140" s="8">
        <v>0</v>
      </c>
      <c r="J140" s="8">
        <v>0</v>
      </c>
      <c r="K140" s="8">
        <v>0</v>
      </c>
      <c r="L140" s="8">
        <v>0</v>
      </c>
      <c r="M140" s="8">
        <v>0</v>
      </c>
      <c r="N140" s="8">
        <v>0</v>
      </c>
      <c r="O140" s="8">
        <v>0</v>
      </c>
      <c r="P140" s="8">
        <f>O139/2</f>
        <v>944.84</v>
      </c>
      <c r="Q140" s="8">
        <f>P140</f>
        <v>944.84</v>
      </c>
    </row>
    <row r="141" spans="1:18" s="8" customFormat="1" x14ac:dyDescent="0.25">
      <c r="A141" s="8" t="s">
        <v>70</v>
      </c>
      <c r="C141" s="8">
        <f>C139*(0.036/2)</f>
        <v>43.055999999999997</v>
      </c>
      <c r="D141" s="8">
        <f>C139*0.036</f>
        <v>86.111999999999995</v>
      </c>
      <c r="E141" s="8">
        <f t="shared" ref="E141:F141" si="85">D139*0.036</f>
        <v>86.111999999999995</v>
      </c>
      <c r="F141" s="8">
        <f t="shared" si="85"/>
        <v>86.111999999999995</v>
      </c>
      <c r="G141" s="8">
        <f>G139*0.0385</f>
        <v>72.752679999999998</v>
      </c>
      <c r="H141" s="8">
        <f t="shared" ref="H141:K141" si="86">H139*0.0385</f>
        <v>72.752679999999998</v>
      </c>
      <c r="I141" s="8">
        <f t="shared" si="86"/>
        <v>72.752679999999998</v>
      </c>
      <c r="J141" s="8">
        <f t="shared" si="86"/>
        <v>72.752679999999998</v>
      </c>
      <c r="K141" s="8">
        <f t="shared" si="86"/>
        <v>72.752679999999998</v>
      </c>
      <c r="L141" s="8">
        <f>L139*0.0975</f>
        <v>184.24380000000002</v>
      </c>
      <c r="M141" s="8">
        <f t="shared" ref="M141:Q141" si="87">M139*0.0975</f>
        <v>184.24380000000002</v>
      </c>
      <c r="N141" s="8">
        <f t="shared" si="87"/>
        <v>184.24380000000002</v>
      </c>
      <c r="O141" s="8">
        <f t="shared" si="87"/>
        <v>184.24380000000002</v>
      </c>
      <c r="P141" s="8">
        <f t="shared" si="87"/>
        <v>184.24380000000002</v>
      </c>
      <c r="Q141" s="8">
        <f t="shared" si="87"/>
        <v>92.121900000000011</v>
      </c>
    </row>
    <row r="142" spans="1:18" s="8" customFormat="1" x14ac:dyDescent="0.25"/>
    <row r="143" spans="1:18" s="8" customFormat="1" x14ac:dyDescent="0.25">
      <c r="A143" s="8" t="s">
        <v>13</v>
      </c>
      <c r="B143" s="8">
        <f>B115+B116+B120+B121+B125+B126+B130+B131+B135+B136+B140+B141</f>
        <v>0</v>
      </c>
      <c r="C143" s="8">
        <f>C111+C115+C116+C120+C121+C125+C126+C130+C131+C135+C136+C140+C141</f>
        <v>536.35699999999997</v>
      </c>
      <c r="D143" s="8">
        <f t="shared" ref="D143:Q143" si="88">D111+D115+D116+D120+D121+D125+D126+D130+D131+D135+D136+D140+D141</f>
        <v>714.87059999999997</v>
      </c>
      <c r="E143" s="8">
        <f t="shared" si="88"/>
        <v>701.44659999999999</v>
      </c>
      <c r="F143" s="8">
        <f t="shared" si="88"/>
        <v>688.02260000000001</v>
      </c>
      <c r="G143" s="8">
        <f t="shared" si="88"/>
        <v>908.16020499999991</v>
      </c>
      <c r="H143" s="8">
        <f t="shared" si="88"/>
        <v>817.34710500000006</v>
      </c>
      <c r="I143" s="8">
        <f t="shared" si="88"/>
        <v>817.34710500000006</v>
      </c>
      <c r="J143" s="8">
        <f t="shared" si="88"/>
        <v>940.94260499999996</v>
      </c>
      <c r="K143" s="8">
        <f t="shared" si="88"/>
        <v>940.94260499999996</v>
      </c>
      <c r="L143" s="8">
        <f t="shared" si="88"/>
        <v>1222.22605</v>
      </c>
      <c r="M143" s="8">
        <f t="shared" si="88"/>
        <v>1294.2135499999999</v>
      </c>
      <c r="N143" s="8">
        <f t="shared" si="88"/>
        <v>1294.2135499999999</v>
      </c>
      <c r="O143" s="8">
        <f t="shared" si="88"/>
        <v>1217.97855</v>
      </c>
      <c r="P143" s="8">
        <f t="shared" si="88"/>
        <v>1129.0838000000001</v>
      </c>
      <c r="Q143" s="8">
        <f t="shared" si="88"/>
        <v>1036.9619</v>
      </c>
      <c r="R143" s="8">
        <f t="shared" ref="R143" si="89">R115+R116+R120+R121+R125+R126+R130+R131+R135+R136+R140+R141</f>
        <v>0</v>
      </c>
    </row>
    <row r="144" spans="1:18" s="8" customFormat="1" x14ac:dyDescent="0.25"/>
    <row r="145" spans="1:2" s="8" customFormat="1" x14ac:dyDescent="0.25">
      <c r="A145" s="8" t="s">
        <v>14</v>
      </c>
      <c r="B145" s="8">
        <v>0.05</v>
      </c>
    </row>
    <row r="146" spans="1:2" s="8" customFormat="1" x14ac:dyDescent="0.25"/>
    <row r="147" spans="1:2" s="8" customFormat="1" x14ac:dyDescent="0.25">
      <c r="A147" s="8" t="s">
        <v>15</v>
      </c>
      <c r="B147" s="10">
        <f>NPV(B145,B143:Q143)</f>
        <v>8971.0961615315828</v>
      </c>
    </row>
    <row r="148" spans="1:2" s="8" customFormat="1" x14ac:dyDescent="0.25"/>
    <row r="149" spans="1:2" s="8" customFormat="1" x14ac:dyDescent="0.25">
      <c r="A149" s="8" t="s">
        <v>83</v>
      </c>
      <c r="B149" s="11">
        <f>B147/12550</f>
        <v>0.71482837940490696</v>
      </c>
    </row>
    <row r="150" spans="1:2" s="8" customFormat="1" x14ac:dyDescent="0.25"/>
    <row r="151" spans="1:2" s="8" customFormat="1" x14ac:dyDescent="0.25">
      <c r="A151" s="7" t="s">
        <v>17</v>
      </c>
    </row>
    <row r="152" spans="1:2" s="8" customFormat="1" x14ac:dyDescent="0.25"/>
    <row r="153" spans="1:2" s="8" customFormat="1" x14ac:dyDescent="0.25">
      <c r="A153" s="8" t="s">
        <v>164</v>
      </c>
      <c r="B153" s="8" t="s">
        <v>3</v>
      </c>
    </row>
    <row r="154" spans="1:2" s="8" customFormat="1" x14ac:dyDescent="0.25">
      <c r="A154" s="32">
        <v>11419</v>
      </c>
      <c r="B154" s="9" t="s">
        <v>170</v>
      </c>
    </row>
    <row r="155" spans="1:2" s="8" customFormat="1" x14ac:dyDescent="0.25"/>
    <row r="156" spans="1:2" s="8" customFormat="1" x14ac:dyDescent="0.25">
      <c r="A156" s="8" t="s">
        <v>74</v>
      </c>
      <c r="B156" s="8" t="s">
        <v>3</v>
      </c>
    </row>
    <row r="157" spans="1:2" s="8" customFormat="1" x14ac:dyDescent="0.25">
      <c r="A157" s="8" t="s">
        <v>171</v>
      </c>
      <c r="B157" s="9" t="s">
        <v>172</v>
      </c>
    </row>
    <row r="158" spans="1:2" s="8" customFormat="1" x14ac:dyDescent="0.25">
      <c r="A158" s="8" t="s">
        <v>173</v>
      </c>
    </row>
    <row r="159" spans="1:2" s="8" customFormat="1" x14ac:dyDescent="0.25">
      <c r="A159" s="8" t="s">
        <v>174</v>
      </c>
    </row>
    <row r="160" spans="1:2" s="8" customFormat="1" x14ac:dyDescent="0.25"/>
    <row r="161" spans="1:21" s="8" customFormat="1" x14ac:dyDescent="0.25">
      <c r="B161" s="8">
        <v>2023</v>
      </c>
      <c r="C161" s="8">
        <f>B161+1</f>
        <v>2024</v>
      </c>
      <c r="D161" s="8">
        <f t="shared" ref="D161:U161" si="90">C161+1</f>
        <v>2025</v>
      </c>
      <c r="E161" s="8">
        <f t="shared" si="90"/>
        <v>2026</v>
      </c>
      <c r="F161" s="8">
        <f t="shared" si="90"/>
        <v>2027</v>
      </c>
      <c r="G161" s="8">
        <f t="shared" si="90"/>
        <v>2028</v>
      </c>
      <c r="H161" s="8">
        <f t="shared" si="90"/>
        <v>2029</v>
      </c>
      <c r="I161" s="8">
        <f t="shared" si="90"/>
        <v>2030</v>
      </c>
      <c r="J161" s="8">
        <f t="shared" si="90"/>
        <v>2031</v>
      </c>
      <c r="K161" s="8">
        <f t="shared" si="90"/>
        <v>2032</v>
      </c>
      <c r="L161" s="8">
        <f t="shared" si="90"/>
        <v>2033</v>
      </c>
      <c r="M161" s="8">
        <f t="shared" si="90"/>
        <v>2034</v>
      </c>
      <c r="N161" s="8">
        <f t="shared" si="90"/>
        <v>2035</v>
      </c>
      <c r="O161" s="8">
        <f t="shared" si="90"/>
        <v>2036</v>
      </c>
      <c r="P161" s="8">
        <f t="shared" si="90"/>
        <v>2037</v>
      </c>
      <c r="Q161" s="8">
        <f t="shared" si="90"/>
        <v>2038</v>
      </c>
      <c r="R161" s="8">
        <f t="shared" si="90"/>
        <v>2039</v>
      </c>
      <c r="S161" s="8">
        <f t="shared" si="90"/>
        <v>2040</v>
      </c>
      <c r="T161" s="8">
        <f t="shared" si="90"/>
        <v>2041</v>
      </c>
      <c r="U161" s="8">
        <f t="shared" si="90"/>
        <v>2042</v>
      </c>
    </row>
    <row r="162" spans="1:21" s="8" customFormat="1" x14ac:dyDescent="0.25">
      <c r="A162" s="8" t="s">
        <v>69</v>
      </c>
      <c r="B162" s="32">
        <f>A154</f>
        <v>11419</v>
      </c>
      <c r="C162" s="8">
        <f t="shared" ref="C162:U162" si="91">B162-B163</f>
        <v>11419</v>
      </c>
      <c r="D162" s="8">
        <f t="shared" si="91"/>
        <v>11419</v>
      </c>
      <c r="E162" s="8">
        <f t="shared" si="91"/>
        <v>11419</v>
      </c>
      <c r="F162" s="8">
        <f t="shared" si="91"/>
        <v>11419</v>
      </c>
      <c r="G162" s="8">
        <f t="shared" si="91"/>
        <v>11419</v>
      </c>
      <c r="H162" s="8">
        <f t="shared" si="91"/>
        <v>10657.733333333334</v>
      </c>
      <c r="I162" s="8">
        <f t="shared" si="91"/>
        <v>9896.4666666666672</v>
      </c>
      <c r="J162" s="8">
        <f t="shared" si="91"/>
        <v>9135.2000000000007</v>
      </c>
      <c r="K162" s="8">
        <f t="shared" si="91"/>
        <v>8373.9333333333343</v>
      </c>
      <c r="L162" s="8">
        <f t="shared" si="91"/>
        <v>7612.6666666666679</v>
      </c>
      <c r="M162" s="8">
        <f t="shared" si="91"/>
        <v>6851.4000000000015</v>
      </c>
      <c r="N162" s="8">
        <f t="shared" si="91"/>
        <v>6090.133333333335</v>
      </c>
      <c r="O162" s="8">
        <f t="shared" si="91"/>
        <v>5328.8666666666686</v>
      </c>
      <c r="P162" s="8">
        <f t="shared" si="91"/>
        <v>4567.6000000000022</v>
      </c>
      <c r="Q162" s="8">
        <f t="shared" si="91"/>
        <v>3806.3333333333358</v>
      </c>
      <c r="R162" s="8">
        <f t="shared" si="91"/>
        <v>3045.0666666666693</v>
      </c>
      <c r="S162" s="8">
        <f t="shared" si="91"/>
        <v>2283.8000000000029</v>
      </c>
      <c r="T162" s="8">
        <f t="shared" si="91"/>
        <v>1522.5333333333363</v>
      </c>
      <c r="U162" s="8">
        <f t="shared" si="91"/>
        <v>761.26666666666961</v>
      </c>
    </row>
    <row r="163" spans="1:21" s="8" customFormat="1" x14ac:dyDescent="0.25">
      <c r="A163" s="8" t="s">
        <v>29</v>
      </c>
      <c r="B163" s="8">
        <v>0</v>
      </c>
      <c r="C163" s="8">
        <v>0</v>
      </c>
      <c r="D163" s="8">
        <v>0</v>
      </c>
      <c r="E163" s="8">
        <v>0</v>
      </c>
      <c r="F163" s="8">
        <v>0</v>
      </c>
      <c r="G163" s="8">
        <f>A154/15</f>
        <v>761.26666666666665</v>
      </c>
      <c r="H163" s="8">
        <f>G163</f>
        <v>761.26666666666665</v>
      </c>
      <c r="I163" s="8">
        <f t="shared" ref="I163:U163" si="92">H163</f>
        <v>761.26666666666665</v>
      </c>
      <c r="J163" s="8">
        <f t="shared" si="92"/>
        <v>761.26666666666665</v>
      </c>
      <c r="K163" s="8">
        <f t="shared" si="92"/>
        <v>761.26666666666665</v>
      </c>
      <c r="L163" s="8">
        <f t="shared" si="92"/>
        <v>761.26666666666665</v>
      </c>
      <c r="M163" s="8">
        <f t="shared" si="92"/>
        <v>761.26666666666665</v>
      </c>
      <c r="N163" s="8">
        <f t="shared" si="92"/>
        <v>761.26666666666665</v>
      </c>
      <c r="O163" s="8">
        <f t="shared" si="92"/>
        <v>761.26666666666665</v>
      </c>
      <c r="P163" s="8">
        <f t="shared" si="92"/>
        <v>761.26666666666665</v>
      </c>
      <c r="Q163" s="8">
        <f t="shared" si="92"/>
        <v>761.26666666666665</v>
      </c>
      <c r="R163" s="8">
        <f t="shared" si="92"/>
        <v>761.26666666666665</v>
      </c>
      <c r="S163" s="8">
        <f t="shared" si="92"/>
        <v>761.26666666666665</v>
      </c>
      <c r="T163" s="8">
        <f t="shared" si="92"/>
        <v>761.26666666666665</v>
      </c>
      <c r="U163" s="8">
        <f t="shared" si="92"/>
        <v>761.26666666666665</v>
      </c>
    </row>
    <row r="164" spans="1:21" s="8" customFormat="1" x14ac:dyDescent="0.25">
      <c r="A164" s="8" t="s">
        <v>70</v>
      </c>
      <c r="B164" s="8">
        <v>0</v>
      </c>
      <c r="C164" s="8">
        <f>C162*0.01</f>
        <v>114.19</v>
      </c>
      <c r="D164" s="8">
        <f>D162*0.02</f>
        <v>228.38</v>
      </c>
      <c r="E164" s="8">
        <f t="shared" ref="E164:U164" si="93">E162*0.02</f>
        <v>228.38</v>
      </c>
      <c r="F164" s="8">
        <f t="shared" si="93"/>
        <v>228.38</v>
      </c>
      <c r="G164" s="8">
        <f t="shared" si="93"/>
        <v>228.38</v>
      </c>
      <c r="H164" s="8">
        <f t="shared" si="93"/>
        <v>213.15466666666669</v>
      </c>
      <c r="I164" s="8">
        <f t="shared" si="93"/>
        <v>197.92933333333335</v>
      </c>
      <c r="J164" s="8">
        <f t="shared" si="93"/>
        <v>182.70400000000001</v>
      </c>
      <c r="K164" s="8">
        <f t="shared" si="93"/>
        <v>167.4786666666667</v>
      </c>
      <c r="L164" s="8">
        <f t="shared" si="93"/>
        <v>152.25333333333336</v>
      </c>
      <c r="M164" s="8">
        <f t="shared" si="93"/>
        <v>137.02800000000002</v>
      </c>
      <c r="N164" s="8">
        <f t="shared" si="93"/>
        <v>121.80266666666671</v>
      </c>
      <c r="O164" s="8">
        <f t="shared" si="93"/>
        <v>106.57733333333337</v>
      </c>
      <c r="P164" s="8">
        <f t="shared" si="93"/>
        <v>91.352000000000046</v>
      </c>
      <c r="Q164" s="8">
        <f t="shared" si="93"/>
        <v>76.126666666666722</v>
      </c>
      <c r="R164" s="8">
        <f t="shared" si="93"/>
        <v>60.90133333333339</v>
      </c>
      <c r="S164" s="8">
        <f t="shared" si="93"/>
        <v>45.676000000000059</v>
      </c>
      <c r="T164" s="8">
        <f t="shared" si="93"/>
        <v>30.450666666666727</v>
      </c>
      <c r="U164" s="8">
        <f t="shared" si="93"/>
        <v>15.225333333333392</v>
      </c>
    </row>
    <row r="165" spans="1:21" s="8" customFormat="1" x14ac:dyDescent="0.25"/>
    <row r="166" spans="1:21" s="8" customFormat="1" x14ac:dyDescent="0.25">
      <c r="A166" s="8" t="s">
        <v>13</v>
      </c>
      <c r="B166" s="8">
        <f>B163+B164</f>
        <v>0</v>
      </c>
      <c r="C166" s="8">
        <f t="shared" ref="C166:T166" si="94">C163+C164</f>
        <v>114.19</v>
      </c>
      <c r="D166" s="8">
        <f t="shared" si="94"/>
        <v>228.38</v>
      </c>
      <c r="E166" s="8">
        <f t="shared" si="94"/>
        <v>228.38</v>
      </c>
      <c r="F166" s="8">
        <f t="shared" si="94"/>
        <v>228.38</v>
      </c>
      <c r="G166" s="8">
        <f t="shared" si="94"/>
        <v>989.64666666666665</v>
      </c>
      <c r="H166" s="8">
        <f t="shared" si="94"/>
        <v>974.42133333333334</v>
      </c>
      <c r="I166" s="8">
        <f t="shared" si="94"/>
        <v>959.19600000000003</v>
      </c>
      <c r="J166" s="8">
        <f t="shared" si="94"/>
        <v>943.9706666666666</v>
      </c>
      <c r="K166" s="8">
        <f t="shared" si="94"/>
        <v>928.74533333333329</v>
      </c>
      <c r="L166" s="8">
        <f t="shared" si="94"/>
        <v>913.52</v>
      </c>
      <c r="M166" s="8">
        <f t="shared" si="94"/>
        <v>898.29466666666667</v>
      </c>
      <c r="N166" s="8">
        <f t="shared" si="94"/>
        <v>883.06933333333336</v>
      </c>
      <c r="O166" s="8">
        <f t="shared" si="94"/>
        <v>867.84400000000005</v>
      </c>
      <c r="P166" s="8">
        <f t="shared" si="94"/>
        <v>852.61866666666674</v>
      </c>
      <c r="Q166" s="8">
        <f t="shared" si="94"/>
        <v>837.39333333333343</v>
      </c>
      <c r="R166" s="8">
        <f t="shared" si="94"/>
        <v>822.16800000000001</v>
      </c>
      <c r="S166" s="8">
        <f t="shared" si="94"/>
        <v>806.9426666666667</v>
      </c>
      <c r="T166" s="8">
        <f t="shared" si="94"/>
        <v>791.71733333333339</v>
      </c>
      <c r="U166" s="8">
        <f>SUM(B166:T166)</f>
        <v>13268.878000000001</v>
      </c>
    </row>
    <row r="167" spans="1:21" s="8" customFormat="1" x14ac:dyDescent="0.25"/>
    <row r="168" spans="1:21" s="8" customFormat="1" x14ac:dyDescent="0.25">
      <c r="A168" s="8" t="s">
        <v>14</v>
      </c>
      <c r="B168" s="8">
        <v>0.05</v>
      </c>
    </row>
    <row r="169" spans="1:21" s="8" customFormat="1" x14ac:dyDescent="0.25"/>
    <row r="170" spans="1:21" s="8" customFormat="1" x14ac:dyDescent="0.25">
      <c r="A170" s="8" t="s">
        <v>15</v>
      </c>
      <c r="B170" s="10">
        <f>NPV(B168,B166:T166)</f>
        <v>7668.5773055963191</v>
      </c>
    </row>
    <row r="171" spans="1:21" s="8" customFormat="1" x14ac:dyDescent="0.25"/>
    <row r="172" spans="1:21" s="8" customFormat="1" x14ac:dyDescent="0.25">
      <c r="A172" s="8" t="s">
        <v>83</v>
      </c>
      <c r="B172" s="11">
        <f>B170/A154</f>
        <v>0.6715629482088028</v>
      </c>
      <c r="J172" s="11"/>
    </row>
    <row r="173" spans="1:21" s="8" customFormat="1" x14ac:dyDescent="0.25">
      <c r="B173" s="11"/>
      <c r="J173" s="39"/>
    </row>
    <row r="174" spans="1:21" s="8" customFormat="1" x14ac:dyDescent="0.25">
      <c r="A174" s="8" t="s">
        <v>208</v>
      </c>
      <c r="B174" s="11"/>
      <c r="J174" s="39"/>
    </row>
    <row r="175" spans="1:21" s="8" customFormat="1" x14ac:dyDescent="0.25">
      <c r="A175" s="8" t="s">
        <v>165</v>
      </c>
      <c r="B175" s="39">
        <f>(B63-B172)/B172</f>
        <v>0.21329101597659017</v>
      </c>
      <c r="J175" s="39"/>
    </row>
    <row r="176" spans="1:21" s="8" customFormat="1" x14ac:dyDescent="0.25">
      <c r="A176" s="8" t="s">
        <v>167</v>
      </c>
      <c r="B176" s="39">
        <f>(B106-B172)/B172</f>
        <v>0.40302973268000025</v>
      </c>
    </row>
    <row r="177" spans="1:34" s="8" customFormat="1" x14ac:dyDescent="0.25">
      <c r="A177" s="8" t="s">
        <v>168</v>
      </c>
      <c r="B177" s="39">
        <f>(B149-B172)/B172</f>
        <v>6.4424982515044943E-2</v>
      </c>
    </row>
    <row r="179" spans="1:34" s="13" customFormat="1" x14ac:dyDescent="0.25">
      <c r="A179" s="12" t="s">
        <v>32</v>
      </c>
    </row>
    <row r="180" spans="1:34" s="13" customFormat="1" x14ac:dyDescent="0.25">
      <c r="H180" s="13">
        <v>2012</v>
      </c>
      <c r="I180" s="13">
        <f>H180+1</f>
        <v>2013</v>
      </c>
      <c r="J180" s="13">
        <f t="shared" ref="J180:AH180" si="95">I180+1</f>
        <v>2014</v>
      </c>
      <c r="K180" s="13">
        <f t="shared" si="95"/>
        <v>2015</v>
      </c>
      <c r="L180" s="13">
        <f t="shared" si="95"/>
        <v>2016</v>
      </c>
      <c r="M180" s="13">
        <f t="shared" si="95"/>
        <v>2017</v>
      </c>
      <c r="N180" s="13">
        <f t="shared" si="95"/>
        <v>2018</v>
      </c>
      <c r="O180" s="13">
        <f t="shared" si="95"/>
        <v>2019</v>
      </c>
      <c r="P180" s="13">
        <f t="shared" si="95"/>
        <v>2020</v>
      </c>
      <c r="Q180" s="13">
        <f t="shared" si="95"/>
        <v>2021</v>
      </c>
      <c r="R180" s="13">
        <f t="shared" si="95"/>
        <v>2022</v>
      </c>
      <c r="S180" s="13">
        <f t="shared" si="95"/>
        <v>2023</v>
      </c>
      <c r="T180" s="13">
        <f t="shared" si="95"/>
        <v>2024</v>
      </c>
      <c r="U180" s="13">
        <f t="shared" si="95"/>
        <v>2025</v>
      </c>
      <c r="V180" s="13">
        <f t="shared" si="95"/>
        <v>2026</v>
      </c>
      <c r="W180" s="13">
        <f t="shared" si="95"/>
        <v>2027</v>
      </c>
      <c r="X180" s="13">
        <f t="shared" si="95"/>
        <v>2028</v>
      </c>
      <c r="Y180" s="13">
        <f t="shared" si="95"/>
        <v>2029</v>
      </c>
      <c r="Z180" s="13">
        <f t="shared" si="95"/>
        <v>2030</v>
      </c>
      <c r="AA180" s="13">
        <f t="shared" si="95"/>
        <v>2031</v>
      </c>
      <c r="AB180" s="13">
        <f t="shared" si="95"/>
        <v>2032</v>
      </c>
      <c r="AC180" s="13">
        <f t="shared" si="95"/>
        <v>2033</v>
      </c>
      <c r="AD180" s="13">
        <f t="shared" si="95"/>
        <v>2034</v>
      </c>
      <c r="AE180" s="13">
        <f t="shared" si="95"/>
        <v>2035</v>
      </c>
      <c r="AF180" s="13">
        <f t="shared" si="95"/>
        <v>2036</v>
      </c>
      <c r="AG180" s="13">
        <f t="shared" si="95"/>
        <v>2037</v>
      </c>
      <c r="AH180" s="13">
        <f t="shared" si="95"/>
        <v>2038</v>
      </c>
    </row>
    <row r="181" spans="1:34" s="13" customFormat="1" x14ac:dyDescent="0.25">
      <c r="A181" s="12" t="s">
        <v>90</v>
      </c>
      <c r="S181" s="13">
        <v>0</v>
      </c>
      <c r="T181" s="13">
        <v>536.35699999999997</v>
      </c>
      <c r="U181" s="13">
        <v>714.87059999999997</v>
      </c>
      <c r="V181" s="13">
        <v>701.44659999999999</v>
      </c>
      <c r="W181" s="13">
        <v>688.02260000000001</v>
      </c>
      <c r="X181" s="13">
        <v>937.16109999999992</v>
      </c>
      <c r="Y181" s="13">
        <v>1011.2714999999999</v>
      </c>
      <c r="Z181" s="13">
        <v>1011.2714999999999</v>
      </c>
      <c r="AA181" s="13">
        <v>1167.7214999999999</v>
      </c>
      <c r="AB181" s="13">
        <v>1167.7214999999999</v>
      </c>
      <c r="AC181" s="13">
        <v>1504.7800000000002</v>
      </c>
      <c r="AD181" s="13">
        <v>1367.03</v>
      </c>
      <c r="AE181" s="13">
        <v>1367.03</v>
      </c>
      <c r="AF181" s="13">
        <v>1541.7450000000001</v>
      </c>
      <c r="AG181" s="13">
        <v>1429.22</v>
      </c>
      <c r="AH181" s="13">
        <v>1312.61</v>
      </c>
    </row>
    <row r="182" spans="1:34" s="13" customFormat="1" x14ac:dyDescent="0.25">
      <c r="A182" s="12" t="s">
        <v>175</v>
      </c>
      <c r="S182" s="13">
        <v>0</v>
      </c>
      <c r="T182" s="13">
        <v>536.35699999999997</v>
      </c>
      <c r="U182" s="13">
        <v>714.87059999999997</v>
      </c>
      <c r="V182" s="13">
        <v>701.44659999999999</v>
      </c>
      <c r="W182" s="13">
        <v>688.02260000000001</v>
      </c>
      <c r="X182" s="13">
        <v>1143.3612899999998</v>
      </c>
      <c r="Y182" s="13">
        <v>1327.9716899999999</v>
      </c>
      <c r="Z182" s="13">
        <v>1327.9716899999999</v>
      </c>
      <c r="AA182" s="13">
        <v>1490.4846899999998</v>
      </c>
      <c r="AB182" s="13">
        <v>1439.7651900000001</v>
      </c>
      <c r="AC182" s="13">
        <v>1663.8326500000001</v>
      </c>
      <c r="AD182" s="13">
        <v>1443.3138999999999</v>
      </c>
      <c r="AE182" s="13">
        <v>1443.3138999999999</v>
      </c>
      <c r="AF182" s="13">
        <v>1880.9288999999997</v>
      </c>
      <c r="AG182" s="13">
        <v>1743.6483999999998</v>
      </c>
      <c r="AH182" s="13">
        <v>1601.3842</v>
      </c>
    </row>
    <row r="183" spans="1:34" s="13" customFormat="1" x14ac:dyDescent="0.25">
      <c r="A183" s="12" t="s">
        <v>176</v>
      </c>
      <c r="S183" s="13">
        <v>0</v>
      </c>
      <c r="T183" s="13">
        <v>536.35699999999997</v>
      </c>
      <c r="U183" s="13">
        <v>714.87059999999997</v>
      </c>
      <c r="V183" s="13">
        <v>701.44659999999999</v>
      </c>
      <c r="W183" s="13">
        <v>688.02260000000001</v>
      </c>
      <c r="X183" s="13">
        <v>908.16020499999991</v>
      </c>
      <c r="Y183" s="13">
        <v>817.34710500000006</v>
      </c>
      <c r="Z183" s="13">
        <v>817.34710500000006</v>
      </c>
      <c r="AA183" s="13">
        <v>940.94260499999996</v>
      </c>
      <c r="AB183" s="13">
        <v>940.94260499999996</v>
      </c>
      <c r="AC183" s="13">
        <v>1222.22605</v>
      </c>
      <c r="AD183" s="13">
        <v>1294.2135499999999</v>
      </c>
      <c r="AE183" s="13">
        <v>1294.2135499999999</v>
      </c>
      <c r="AF183" s="13">
        <v>1217.97855</v>
      </c>
      <c r="AG183" s="13">
        <v>1129.0838000000001</v>
      </c>
      <c r="AH183" s="13">
        <v>1036.9619</v>
      </c>
    </row>
    <row r="184" spans="1:34" s="13" customFormat="1" x14ac:dyDescent="0.25"/>
    <row r="185" spans="1:34" s="13" customFormat="1" x14ac:dyDescent="0.25">
      <c r="A185" s="13" t="s">
        <v>91</v>
      </c>
      <c r="B185" s="13">
        <f>C188+C190+C192+C194+C196+C198+C200+C202+C204+C206+C208</f>
        <v>12550</v>
      </c>
    </row>
    <row r="186" spans="1:34" s="13" customFormat="1" x14ac:dyDescent="0.25">
      <c r="A186" s="12" t="s">
        <v>177</v>
      </c>
    </row>
    <row r="187" spans="1:34" s="13" customFormat="1" x14ac:dyDescent="0.25">
      <c r="B187" s="13" t="s">
        <v>92</v>
      </c>
      <c r="C187" s="13" t="s">
        <v>93</v>
      </c>
      <c r="D187" s="13" t="s">
        <v>94</v>
      </c>
      <c r="E187" s="13" t="s">
        <v>36</v>
      </c>
      <c r="F187" s="13" t="s">
        <v>95</v>
      </c>
      <c r="H187" s="13" t="s">
        <v>96</v>
      </c>
    </row>
    <row r="188" spans="1:34" s="13" customFormat="1" x14ac:dyDescent="0.25">
      <c r="A188" s="13" t="s">
        <v>98</v>
      </c>
      <c r="B188" s="23" t="s">
        <v>178</v>
      </c>
      <c r="C188" s="13">
        <v>1500</v>
      </c>
      <c r="D188" s="13">
        <v>7.55</v>
      </c>
      <c r="E188" s="13">
        <v>2019</v>
      </c>
      <c r="F188" s="13">
        <f>C188/B185</f>
        <v>0.11952191235059761</v>
      </c>
      <c r="H188" s="13">
        <v>2.3E-2</v>
      </c>
      <c r="O188" s="13">
        <f>(C188*(D188/100))/2</f>
        <v>56.625</v>
      </c>
      <c r="P188" s="13">
        <f>C188*D188/100</f>
        <v>113.25</v>
      </c>
      <c r="Q188" s="13">
        <f>P188</f>
        <v>113.25</v>
      </c>
      <c r="R188" s="13">
        <v>0</v>
      </c>
      <c r="S188" s="13">
        <v>0</v>
      </c>
      <c r="T188" s="13">
        <f>T181*0.119522</f>
        <v>64.106461354000004</v>
      </c>
      <c r="U188" s="13">
        <f t="shared" ref="U188:AH188" si="96">U181*0.119522</f>
        <v>85.442763853199992</v>
      </c>
      <c r="V188" s="13">
        <f t="shared" si="96"/>
        <v>83.838300525199998</v>
      </c>
      <c r="W188" s="13">
        <f t="shared" si="96"/>
        <v>82.233837197200003</v>
      </c>
      <c r="X188" s="13">
        <f t="shared" si="96"/>
        <v>112.0113689942</v>
      </c>
      <c r="Y188" s="13">
        <f t="shared" si="96"/>
        <v>120.869192223</v>
      </c>
      <c r="Z188" s="13">
        <f t="shared" si="96"/>
        <v>120.869192223</v>
      </c>
      <c r="AA188" s="13">
        <f t="shared" si="96"/>
        <v>139.56840912299998</v>
      </c>
      <c r="AB188" s="13">
        <f t="shared" si="96"/>
        <v>139.56840912299998</v>
      </c>
      <c r="AC188" s="13">
        <f t="shared" si="96"/>
        <v>179.85431516000003</v>
      </c>
      <c r="AD188" s="13">
        <f t="shared" si="96"/>
        <v>163.39015965999999</v>
      </c>
      <c r="AE188" s="13">
        <f t="shared" si="96"/>
        <v>163.39015965999999</v>
      </c>
      <c r="AF188" s="13">
        <f t="shared" si="96"/>
        <v>184.27244589000003</v>
      </c>
      <c r="AG188" s="13">
        <f t="shared" si="96"/>
        <v>170.82323284</v>
      </c>
      <c r="AH188" s="13">
        <f t="shared" si="96"/>
        <v>156.88577242</v>
      </c>
    </row>
    <row r="189" spans="1:34" s="13" customFormat="1" x14ac:dyDescent="0.25">
      <c r="A189" s="13" t="s">
        <v>100</v>
      </c>
      <c r="B189" s="14">
        <f>NPV(H188,O188:AH188)</f>
        <v>1701.0394704219873</v>
      </c>
    </row>
    <row r="190" spans="1:34" s="13" customFormat="1" x14ac:dyDescent="0.25">
      <c r="A190" s="13" t="s">
        <v>101</v>
      </c>
      <c r="B190" s="24" t="s">
        <v>179</v>
      </c>
      <c r="C190" s="13">
        <v>1250</v>
      </c>
      <c r="D190" s="13">
        <v>6.75</v>
      </c>
      <c r="E190" s="13">
        <v>2018</v>
      </c>
      <c r="F190" s="13">
        <f>C190/B185</f>
        <v>9.9601593625498003E-2</v>
      </c>
      <c r="H190" s="13">
        <v>0.03</v>
      </c>
      <c r="N190" s="13">
        <f>(C190*(D190/100))/2</f>
        <v>42.1875</v>
      </c>
      <c r="O190" s="13">
        <f>C190*(D190/100)</f>
        <v>84.375</v>
      </c>
      <c r="P190" s="13">
        <f>O190</f>
        <v>84.375</v>
      </c>
      <c r="Q190" s="13">
        <f>P190</f>
        <v>84.375</v>
      </c>
      <c r="R190" s="13">
        <f>N190</f>
        <v>42.1875</v>
      </c>
      <c r="S190" s="13">
        <v>0</v>
      </c>
      <c r="T190" s="13">
        <f>T181*0.099602</f>
        <v>53.422229913999992</v>
      </c>
      <c r="U190" s="13">
        <f t="shared" ref="U190:AH190" si="97">U181*0.099602</f>
        <v>71.202541501199988</v>
      </c>
      <c r="V190" s="13">
        <f t="shared" si="97"/>
        <v>69.865484253199995</v>
      </c>
      <c r="W190" s="13">
        <f t="shared" si="97"/>
        <v>68.528427005200001</v>
      </c>
      <c r="X190" s="13">
        <f t="shared" si="97"/>
        <v>93.343119882199986</v>
      </c>
      <c r="Y190" s="13">
        <f t="shared" si="97"/>
        <v>100.724663943</v>
      </c>
      <c r="Z190" s="13">
        <f t="shared" si="97"/>
        <v>100.724663943</v>
      </c>
      <c r="AA190" s="13">
        <f t="shared" si="97"/>
        <v>116.30739684299998</v>
      </c>
      <c r="AB190" s="13">
        <f t="shared" si="97"/>
        <v>116.30739684299998</v>
      </c>
      <c r="AC190" s="13">
        <f t="shared" si="97"/>
        <v>149.87909756000002</v>
      </c>
      <c r="AD190" s="13">
        <f t="shared" si="97"/>
        <v>136.15892205999998</v>
      </c>
      <c r="AE190" s="13">
        <f t="shared" si="97"/>
        <v>136.15892205999998</v>
      </c>
      <c r="AF190" s="13">
        <f t="shared" si="97"/>
        <v>153.56088549</v>
      </c>
      <c r="AG190" s="13">
        <f t="shared" si="97"/>
        <v>142.35317043999999</v>
      </c>
      <c r="AH190" s="13">
        <f t="shared" si="97"/>
        <v>130.73858121999999</v>
      </c>
    </row>
    <row r="191" spans="1:34" s="13" customFormat="1" x14ac:dyDescent="0.25">
      <c r="A191" s="13" t="s">
        <v>100</v>
      </c>
      <c r="B191" s="14">
        <f>NPV(H190,N190:AH190)</f>
        <v>1363.8862598461822</v>
      </c>
    </row>
    <row r="192" spans="1:34" s="13" customFormat="1" x14ac:dyDescent="0.25">
      <c r="A192" s="13" t="s">
        <v>104</v>
      </c>
      <c r="B192" s="23" t="s">
        <v>180</v>
      </c>
      <c r="C192" s="13">
        <v>1400</v>
      </c>
      <c r="D192" s="13">
        <v>7.85</v>
      </c>
      <c r="E192" s="13">
        <v>2019</v>
      </c>
      <c r="F192" s="13">
        <f>C192/B185</f>
        <v>0.11155378486055777</v>
      </c>
      <c r="H192" s="13">
        <v>2.9000000000000001E-2</v>
      </c>
      <c r="O192" s="13">
        <f>(C192*(D192/100))/2</f>
        <v>54.95</v>
      </c>
      <c r="P192" s="13">
        <f>C192*D192/100</f>
        <v>109.9</v>
      </c>
      <c r="Q192" s="13">
        <f>P192</f>
        <v>109.9</v>
      </c>
      <c r="R192" s="13">
        <f>O192</f>
        <v>54.95</v>
      </c>
      <c r="S192" s="13">
        <v>0</v>
      </c>
      <c r="T192" s="13">
        <f>T181*0.111554</f>
        <v>59.832768777999995</v>
      </c>
      <c r="U192" s="13">
        <f t="shared" ref="U192:AH192" si="98">U181*0.111554</f>
        <v>79.746674912399996</v>
      </c>
      <c r="V192" s="13">
        <f t="shared" si="98"/>
        <v>78.249174016400005</v>
      </c>
      <c r="W192" s="13">
        <f t="shared" si="98"/>
        <v>76.7516731204</v>
      </c>
      <c r="X192" s="13">
        <f t="shared" si="98"/>
        <v>104.54406934939999</v>
      </c>
      <c r="Y192" s="13">
        <f t="shared" si="98"/>
        <v>112.811380911</v>
      </c>
      <c r="Z192" s="13">
        <f t="shared" si="98"/>
        <v>112.811380911</v>
      </c>
      <c r="AA192" s="13">
        <f t="shared" si="98"/>
        <v>130.26400421099999</v>
      </c>
      <c r="AB192" s="13">
        <f t="shared" si="98"/>
        <v>130.26400421099999</v>
      </c>
      <c r="AC192" s="13">
        <f t="shared" si="98"/>
        <v>167.86422812000004</v>
      </c>
      <c r="AD192" s="13">
        <f t="shared" si="98"/>
        <v>152.49766461999999</v>
      </c>
      <c r="AE192" s="13">
        <f t="shared" si="98"/>
        <v>152.49766461999999</v>
      </c>
      <c r="AF192" s="13">
        <f t="shared" si="98"/>
        <v>171.98782173000001</v>
      </c>
      <c r="AG192" s="13">
        <f t="shared" si="98"/>
        <v>159.43520788000001</v>
      </c>
      <c r="AH192" s="13">
        <f t="shared" si="98"/>
        <v>146.42689593999998</v>
      </c>
    </row>
    <row r="193" spans="1:34" s="13" customFormat="1" x14ac:dyDescent="0.25">
      <c r="A193" s="13" t="s">
        <v>100</v>
      </c>
      <c r="B193" s="14">
        <f>NPV(H192,O192:AH192)</f>
        <v>1540.1901967423792</v>
      </c>
    </row>
    <row r="194" spans="1:34" s="13" customFormat="1" x14ac:dyDescent="0.25">
      <c r="A194" s="13" t="s">
        <v>107</v>
      </c>
      <c r="B194" s="23" t="s">
        <v>181</v>
      </c>
      <c r="C194" s="13">
        <v>1000</v>
      </c>
      <c r="D194" s="13">
        <v>6.8250000000000002</v>
      </c>
      <c r="E194" s="13">
        <v>2016</v>
      </c>
      <c r="F194" s="13">
        <f>C194/B185</f>
        <v>7.9681274900398405E-2</v>
      </c>
      <c r="H194" s="13">
        <v>1.9E-2</v>
      </c>
      <c r="M194" s="13">
        <f>C194*(D194/100)</f>
        <v>68.25</v>
      </c>
      <c r="N194" s="13">
        <f>M194</f>
        <v>68.25</v>
      </c>
      <c r="O194" s="13">
        <f t="shared" ref="O194:Q194" si="99">N194</f>
        <v>68.25</v>
      </c>
      <c r="P194" s="13">
        <f t="shared" si="99"/>
        <v>68.25</v>
      </c>
      <c r="Q194" s="13">
        <f t="shared" si="99"/>
        <v>68.25</v>
      </c>
      <c r="R194" s="13">
        <v>0</v>
      </c>
      <c r="S194" s="13">
        <v>0</v>
      </c>
      <c r="T194" s="13">
        <f>T181*0.079681</f>
        <v>42.737462117</v>
      </c>
      <c r="U194" s="13">
        <f t="shared" ref="U194:AH194" si="100">U181*0.079681</f>
        <v>56.961604278599999</v>
      </c>
      <c r="V194" s="13">
        <f t="shared" si="100"/>
        <v>55.891966534600002</v>
      </c>
      <c r="W194" s="13">
        <f t="shared" si="100"/>
        <v>54.822328790600004</v>
      </c>
      <c r="X194" s="13">
        <f t="shared" si="100"/>
        <v>74.67393360909999</v>
      </c>
      <c r="Y194" s="13">
        <f t="shared" si="100"/>
        <v>80.579124391500002</v>
      </c>
      <c r="Z194" s="13">
        <f t="shared" si="100"/>
        <v>80.579124391500002</v>
      </c>
      <c r="AA194" s="13">
        <f t="shared" si="100"/>
        <v>93.045216841499993</v>
      </c>
      <c r="AB194" s="13">
        <f t="shared" si="100"/>
        <v>93.045216841499993</v>
      </c>
      <c r="AC194" s="13">
        <f t="shared" si="100"/>
        <v>119.90237518000002</v>
      </c>
      <c r="AD194" s="13">
        <f t="shared" si="100"/>
        <v>108.92631743</v>
      </c>
      <c r="AE194" s="13">
        <f t="shared" si="100"/>
        <v>108.92631743</v>
      </c>
      <c r="AF194" s="13">
        <f t="shared" si="100"/>
        <v>122.84778334500001</v>
      </c>
      <c r="AG194" s="13">
        <f t="shared" si="100"/>
        <v>113.88167882</v>
      </c>
      <c r="AH194" s="13">
        <f t="shared" si="100"/>
        <v>104.59007740999999</v>
      </c>
    </row>
    <row r="195" spans="1:34" s="13" customFormat="1" x14ac:dyDescent="0.25">
      <c r="A195" s="13" t="s">
        <v>100</v>
      </c>
      <c r="B195" s="14">
        <f>NPV(H194,M194:AH194)</f>
        <v>1292.9506711141044</v>
      </c>
    </row>
    <row r="196" spans="1:34" s="13" customFormat="1" x14ac:dyDescent="0.25">
      <c r="A196" s="13" t="s">
        <v>109</v>
      </c>
      <c r="B196" s="23" t="s">
        <v>182</v>
      </c>
      <c r="C196" s="13">
        <v>1500</v>
      </c>
      <c r="D196" s="13">
        <v>6.85</v>
      </c>
      <c r="E196" s="13">
        <v>2015</v>
      </c>
      <c r="F196" s="13">
        <f>C196/B185</f>
        <v>0.11952191235059761</v>
      </c>
      <c r="H196" s="13">
        <v>2.7E-2</v>
      </c>
      <c r="L196" s="13">
        <f>C196*(D196/100)</f>
        <v>102.74999999999999</v>
      </c>
      <c r="M196" s="13">
        <f>L196</f>
        <v>102.74999999999999</v>
      </c>
      <c r="N196" s="13">
        <f t="shared" ref="N196:Q196" si="101">M196</f>
        <v>102.74999999999999</v>
      </c>
      <c r="O196" s="13">
        <f t="shared" si="101"/>
        <v>102.74999999999999</v>
      </c>
      <c r="P196" s="13">
        <f t="shared" si="101"/>
        <v>102.74999999999999</v>
      </c>
      <c r="Q196" s="13">
        <f t="shared" si="101"/>
        <v>102.74999999999999</v>
      </c>
      <c r="R196" s="13">
        <f>(C196*(D196/100))/2</f>
        <v>51.374999999999993</v>
      </c>
      <c r="S196" s="13">
        <v>0</v>
      </c>
      <c r="T196" s="13">
        <f>T181*0.119522</f>
        <v>64.106461354000004</v>
      </c>
      <c r="U196" s="13">
        <f t="shared" ref="U196:AH196" si="102">U181*0.119522</f>
        <v>85.442763853199992</v>
      </c>
      <c r="V196" s="13">
        <f t="shared" si="102"/>
        <v>83.838300525199998</v>
      </c>
      <c r="W196" s="13">
        <f t="shared" si="102"/>
        <v>82.233837197200003</v>
      </c>
      <c r="X196" s="13">
        <f t="shared" si="102"/>
        <v>112.0113689942</v>
      </c>
      <c r="Y196" s="13">
        <f t="shared" si="102"/>
        <v>120.869192223</v>
      </c>
      <c r="Z196" s="13">
        <f t="shared" si="102"/>
        <v>120.869192223</v>
      </c>
      <c r="AA196" s="13">
        <f t="shared" si="102"/>
        <v>139.56840912299998</v>
      </c>
      <c r="AB196" s="13">
        <f t="shared" si="102"/>
        <v>139.56840912299998</v>
      </c>
      <c r="AC196" s="13">
        <f t="shared" si="102"/>
        <v>179.85431516000003</v>
      </c>
      <c r="AD196" s="13">
        <f t="shared" si="102"/>
        <v>163.39015965999999</v>
      </c>
      <c r="AE196" s="13">
        <f t="shared" si="102"/>
        <v>163.39015965999999</v>
      </c>
      <c r="AF196" s="13">
        <f t="shared" si="102"/>
        <v>184.27244589000003</v>
      </c>
      <c r="AG196" s="13">
        <f t="shared" si="102"/>
        <v>170.82323284</v>
      </c>
      <c r="AH196" s="13">
        <f t="shared" si="102"/>
        <v>156.88577242</v>
      </c>
    </row>
    <row r="197" spans="1:34" s="13" customFormat="1" x14ac:dyDescent="0.25">
      <c r="A197" s="13" t="s">
        <v>100</v>
      </c>
      <c r="B197" s="14">
        <f>NPV(H196,L196:AH196)</f>
        <v>1857.4861646312133</v>
      </c>
    </row>
    <row r="198" spans="1:34" s="13" customFormat="1" x14ac:dyDescent="0.25">
      <c r="A198" s="13" t="s">
        <v>111</v>
      </c>
      <c r="B198" s="25" t="s">
        <v>183</v>
      </c>
      <c r="C198" s="13">
        <v>650</v>
      </c>
      <c r="D198" s="13">
        <v>6.125</v>
      </c>
      <c r="E198" s="13">
        <v>2015</v>
      </c>
      <c r="F198" s="13">
        <f>C198/B185</f>
        <v>5.1792828685258967E-2</v>
      </c>
      <c r="H198" s="13">
        <v>2.7E-2</v>
      </c>
      <c r="K198" s="13">
        <f>(C198*(D198/100))/2</f>
        <v>19.90625</v>
      </c>
      <c r="L198" s="13">
        <f>C198*(D198/100)</f>
        <v>39.8125</v>
      </c>
      <c r="M198" s="13">
        <f>L198</f>
        <v>39.8125</v>
      </c>
      <c r="N198" s="13">
        <f t="shared" ref="N198:Q198" si="103">M198</f>
        <v>39.8125</v>
      </c>
      <c r="O198" s="13">
        <f t="shared" si="103"/>
        <v>39.8125</v>
      </c>
      <c r="P198" s="13">
        <f t="shared" si="103"/>
        <v>39.8125</v>
      </c>
      <c r="Q198" s="13">
        <f t="shared" si="103"/>
        <v>39.8125</v>
      </c>
      <c r="R198" s="13">
        <v>0</v>
      </c>
      <c r="S198" s="13">
        <v>0</v>
      </c>
      <c r="T198" s="13">
        <f>T181*0.051793</f>
        <v>27.779538100999996</v>
      </c>
      <c r="U198" s="13">
        <f t="shared" ref="U198:AH198" si="104">U181*0.051793</f>
        <v>37.0252929858</v>
      </c>
      <c r="V198" s="13">
        <f t="shared" si="104"/>
        <v>36.330023753799999</v>
      </c>
      <c r="W198" s="13">
        <f t="shared" si="104"/>
        <v>35.634754521799998</v>
      </c>
      <c r="X198" s="13">
        <f t="shared" si="104"/>
        <v>48.538384852299991</v>
      </c>
      <c r="Y198" s="13">
        <f t="shared" si="104"/>
        <v>52.376784799499994</v>
      </c>
      <c r="Z198" s="13">
        <f t="shared" si="104"/>
        <v>52.376784799499994</v>
      </c>
      <c r="AA198" s="13">
        <f t="shared" si="104"/>
        <v>60.479799649499995</v>
      </c>
      <c r="AB198" s="13">
        <f t="shared" si="104"/>
        <v>60.479799649499995</v>
      </c>
      <c r="AC198" s="13">
        <f t="shared" si="104"/>
        <v>77.937070540000008</v>
      </c>
      <c r="AD198" s="13">
        <f t="shared" si="104"/>
        <v>70.802584789999997</v>
      </c>
      <c r="AE198" s="13">
        <f t="shared" si="104"/>
        <v>70.802584789999997</v>
      </c>
      <c r="AF198" s="13">
        <f t="shared" si="104"/>
        <v>79.851598785000007</v>
      </c>
      <c r="AG198" s="13">
        <f t="shared" si="104"/>
        <v>74.023591460000006</v>
      </c>
      <c r="AH198" s="13">
        <f t="shared" si="104"/>
        <v>67.984009729999997</v>
      </c>
    </row>
    <row r="199" spans="1:34" s="13" customFormat="1" x14ac:dyDescent="0.25">
      <c r="A199" s="13" t="s">
        <v>100</v>
      </c>
      <c r="B199" s="14">
        <f>NPV(H198,K198:AH198)</f>
        <v>760.03813354443707</v>
      </c>
    </row>
    <row r="200" spans="1:34" s="13" customFormat="1" x14ac:dyDescent="0.25">
      <c r="A200" s="13" t="s">
        <v>113</v>
      </c>
      <c r="B200" s="23" t="s">
        <v>184</v>
      </c>
      <c r="C200" s="13">
        <v>1000</v>
      </c>
      <c r="D200" s="13">
        <v>6.85</v>
      </c>
      <c r="E200" s="13">
        <v>2019</v>
      </c>
      <c r="F200" s="13">
        <f>C200/B185</f>
        <v>7.9681274900398405E-2</v>
      </c>
      <c r="H200" s="13">
        <v>2.9000000000000001E-2</v>
      </c>
      <c r="O200" s="13">
        <f>(C200*(D200/100))/2</f>
        <v>34.249999999999993</v>
      </c>
      <c r="P200" s="13">
        <f>C200*(D200/100)</f>
        <v>68.499999999999986</v>
      </c>
      <c r="Q200" s="13">
        <f>P200</f>
        <v>68.499999999999986</v>
      </c>
      <c r="R200" s="13">
        <f>O200</f>
        <v>34.249999999999993</v>
      </c>
      <c r="S200" s="13">
        <v>0</v>
      </c>
      <c r="T200" s="13">
        <f>T181*0.079681</f>
        <v>42.737462117</v>
      </c>
      <c r="U200" s="13">
        <f t="shared" ref="U200:AH200" si="105">U181*0.079681</f>
        <v>56.961604278599999</v>
      </c>
      <c r="V200" s="13">
        <f t="shared" si="105"/>
        <v>55.891966534600002</v>
      </c>
      <c r="W200" s="13">
        <f t="shared" si="105"/>
        <v>54.822328790600004</v>
      </c>
      <c r="X200" s="13">
        <f t="shared" si="105"/>
        <v>74.67393360909999</v>
      </c>
      <c r="Y200" s="13">
        <f t="shared" si="105"/>
        <v>80.579124391500002</v>
      </c>
      <c r="Z200" s="13">
        <f t="shared" si="105"/>
        <v>80.579124391500002</v>
      </c>
      <c r="AA200" s="13">
        <f t="shared" si="105"/>
        <v>93.045216841499993</v>
      </c>
      <c r="AB200" s="13">
        <f t="shared" si="105"/>
        <v>93.045216841499993</v>
      </c>
      <c r="AC200" s="13">
        <f t="shared" si="105"/>
        <v>119.90237518000002</v>
      </c>
      <c r="AD200" s="13">
        <f t="shared" si="105"/>
        <v>108.92631743</v>
      </c>
      <c r="AE200" s="13">
        <f t="shared" si="105"/>
        <v>108.92631743</v>
      </c>
      <c r="AF200" s="13">
        <f t="shared" si="105"/>
        <v>122.84778334500001</v>
      </c>
      <c r="AG200" s="13">
        <f t="shared" si="105"/>
        <v>113.88167882</v>
      </c>
      <c r="AH200" s="13">
        <f t="shared" si="105"/>
        <v>104.59007740999999</v>
      </c>
    </row>
    <row r="201" spans="1:34" s="13" customFormat="1" x14ac:dyDescent="0.25">
      <c r="A201" s="13" t="s">
        <v>100</v>
      </c>
      <c r="B201" s="14">
        <f>NPV(H200,O200:AH200)</f>
        <v>1072.1898898726511</v>
      </c>
    </row>
    <row r="202" spans="1:34" s="13" customFormat="1" x14ac:dyDescent="0.25">
      <c r="A202" s="13" t="s">
        <v>115</v>
      </c>
      <c r="B202" s="23" t="s">
        <v>185</v>
      </c>
      <c r="C202" s="13">
        <v>1000</v>
      </c>
      <c r="D202" s="13">
        <v>5.875</v>
      </c>
      <c r="E202" s="13">
        <v>2012</v>
      </c>
      <c r="F202" s="13">
        <f>C202/B185</f>
        <v>7.9681274900398405E-2</v>
      </c>
      <c r="H202" s="13">
        <v>2.8000000000000001E-2</v>
      </c>
      <c r="I202" s="13">
        <f>C202*(D202/100)</f>
        <v>58.75</v>
      </c>
      <c r="J202" s="13">
        <f>I202</f>
        <v>58.75</v>
      </c>
      <c r="K202" s="13">
        <f t="shared" ref="K202:Q202" si="106">J202</f>
        <v>58.75</v>
      </c>
      <c r="L202" s="13">
        <f t="shared" si="106"/>
        <v>58.75</v>
      </c>
      <c r="M202" s="13">
        <f t="shared" si="106"/>
        <v>58.75</v>
      </c>
      <c r="N202" s="13">
        <f t="shared" si="106"/>
        <v>58.75</v>
      </c>
      <c r="O202" s="13">
        <f t="shared" si="106"/>
        <v>58.75</v>
      </c>
      <c r="P202" s="13">
        <f t="shared" si="106"/>
        <v>58.75</v>
      </c>
      <c r="Q202" s="13">
        <f t="shared" si="106"/>
        <v>58.75</v>
      </c>
      <c r="R202" s="13">
        <v>0</v>
      </c>
      <c r="S202" s="13">
        <v>0</v>
      </c>
      <c r="T202" s="13">
        <f>T181*0.079681</f>
        <v>42.737462117</v>
      </c>
      <c r="U202" s="13">
        <f t="shared" ref="U202:AH202" si="107">U181*0.079681</f>
        <v>56.961604278599999</v>
      </c>
      <c r="V202" s="13">
        <f t="shared" si="107"/>
        <v>55.891966534600002</v>
      </c>
      <c r="W202" s="13">
        <f t="shared" si="107"/>
        <v>54.822328790600004</v>
      </c>
      <c r="X202" s="13">
        <f t="shared" si="107"/>
        <v>74.67393360909999</v>
      </c>
      <c r="Y202" s="13">
        <f t="shared" si="107"/>
        <v>80.579124391500002</v>
      </c>
      <c r="Z202" s="13">
        <f t="shared" si="107"/>
        <v>80.579124391500002</v>
      </c>
      <c r="AA202" s="13">
        <f t="shared" si="107"/>
        <v>93.045216841499993</v>
      </c>
      <c r="AB202" s="13">
        <f t="shared" si="107"/>
        <v>93.045216841499993</v>
      </c>
      <c r="AC202" s="13">
        <f t="shared" si="107"/>
        <v>119.90237518000002</v>
      </c>
      <c r="AD202" s="13">
        <f t="shared" si="107"/>
        <v>108.92631743</v>
      </c>
      <c r="AE202" s="13">
        <f t="shared" si="107"/>
        <v>108.92631743</v>
      </c>
      <c r="AF202" s="13">
        <f t="shared" si="107"/>
        <v>122.84778334500001</v>
      </c>
      <c r="AG202" s="13">
        <f t="shared" si="107"/>
        <v>113.88167882</v>
      </c>
      <c r="AH202" s="13">
        <f t="shared" si="107"/>
        <v>104.59007740999999</v>
      </c>
    </row>
    <row r="203" spans="1:34" s="13" customFormat="1" x14ac:dyDescent="0.25">
      <c r="A203" s="13" t="s">
        <v>100</v>
      </c>
      <c r="B203" s="14">
        <f>NPV(H202,I202:AH202)</f>
        <v>1218.0356371023602</v>
      </c>
    </row>
    <row r="204" spans="1:34" s="13" customFormat="1" x14ac:dyDescent="0.25">
      <c r="A204" s="13" t="s">
        <v>118</v>
      </c>
      <c r="B204" s="13" t="s">
        <v>186</v>
      </c>
      <c r="C204" s="13">
        <v>1500</v>
      </c>
      <c r="D204" s="13">
        <v>6.2</v>
      </c>
      <c r="E204" s="13">
        <v>2017</v>
      </c>
      <c r="F204" s="13">
        <f>C204/B185</f>
        <v>0.11952191235059761</v>
      </c>
      <c r="H204" s="13">
        <v>2.8000000000000001E-2</v>
      </c>
      <c r="M204" s="13">
        <f>(C204*(D204/100))/2</f>
        <v>46.5</v>
      </c>
      <c r="N204" s="13">
        <f>C204*(D204/100)</f>
        <v>93</v>
      </c>
      <c r="O204" s="13">
        <f>N204</f>
        <v>93</v>
      </c>
      <c r="P204" s="13">
        <f t="shared" ref="P204:Q204" si="108">O204</f>
        <v>93</v>
      </c>
      <c r="Q204" s="13">
        <f t="shared" si="108"/>
        <v>93</v>
      </c>
      <c r="R204" s="13">
        <f>M204</f>
        <v>46.5</v>
      </c>
      <c r="S204" s="13">
        <v>0</v>
      </c>
      <c r="T204" s="13">
        <f>T181*0.119522</f>
        <v>64.106461354000004</v>
      </c>
      <c r="U204" s="13">
        <f t="shared" ref="U204:AH204" si="109">U181*0.119522</f>
        <v>85.442763853199992</v>
      </c>
      <c r="V204" s="13">
        <f t="shared" si="109"/>
        <v>83.838300525199998</v>
      </c>
      <c r="W204" s="13">
        <f t="shared" si="109"/>
        <v>82.233837197200003</v>
      </c>
      <c r="X204" s="13">
        <f t="shared" si="109"/>
        <v>112.0113689942</v>
      </c>
      <c r="Y204" s="13">
        <f t="shared" si="109"/>
        <v>120.869192223</v>
      </c>
      <c r="Z204" s="13">
        <f t="shared" si="109"/>
        <v>120.869192223</v>
      </c>
      <c r="AA204" s="13">
        <f t="shared" si="109"/>
        <v>139.56840912299998</v>
      </c>
      <c r="AB204" s="13">
        <f t="shared" si="109"/>
        <v>139.56840912299998</v>
      </c>
      <c r="AC204" s="13">
        <f t="shared" si="109"/>
        <v>179.85431516000003</v>
      </c>
      <c r="AD204" s="13">
        <f t="shared" si="109"/>
        <v>163.39015965999999</v>
      </c>
      <c r="AE204" s="13">
        <f t="shared" si="109"/>
        <v>163.39015965999999</v>
      </c>
      <c r="AF204" s="13">
        <f t="shared" si="109"/>
        <v>184.27244589000003</v>
      </c>
      <c r="AG204" s="13">
        <f t="shared" si="109"/>
        <v>170.82323284</v>
      </c>
      <c r="AH204" s="13">
        <f t="shared" si="109"/>
        <v>156.88577242</v>
      </c>
    </row>
    <row r="205" spans="1:34" s="13" customFormat="1" x14ac:dyDescent="0.25">
      <c r="A205" s="13" t="s">
        <v>100</v>
      </c>
      <c r="B205" s="14">
        <f>NPV(H204,M204:AH204)</f>
        <v>1689.4819596420934</v>
      </c>
    </row>
    <row r="206" spans="1:34" s="13" customFormat="1" x14ac:dyDescent="0.25">
      <c r="A206" s="13" t="s">
        <v>120</v>
      </c>
      <c r="B206" s="13" t="s">
        <v>187</v>
      </c>
      <c r="C206" s="13">
        <v>1250</v>
      </c>
      <c r="D206" s="13">
        <v>5.75</v>
      </c>
      <c r="E206" s="13">
        <v>2018</v>
      </c>
      <c r="F206" s="13">
        <f>C206/B185</f>
        <v>9.9601593625498003E-2</v>
      </c>
      <c r="H206" s="13">
        <v>0.03</v>
      </c>
      <c r="N206" s="13">
        <f>(C206*(D206/100))/2</f>
        <v>35.9375</v>
      </c>
      <c r="O206" s="13">
        <f>C206*(D206/100)</f>
        <v>71.875</v>
      </c>
      <c r="P206" s="13">
        <f>O206</f>
        <v>71.875</v>
      </c>
      <c r="Q206" s="13">
        <f>P206</f>
        <v>71.875</v>
      </c>
      <c r="R206" s="13">
        <f>N206</f>
        <v>35.9375</v>
      </c>
      <c r="S206" s="13">
        <v>0</v>
      </c>
      <c r="T206" s="13">
        <f>T181*0.099602</f>
        <v>53.422229913999992</v>
      </c>
      <c r="U206" s="13">
        <f t="shared" ref="U206:AH206" si="110">U181*0.099602</f>
        <v>71.202541501199988</v>
      </c>
      <c r="V206" s="13">
        <f t="shared" si="110"/>
        <v>69.865484253199995</v>
      </c>
      <c r="W206" s="13">
        <f t="shared" si="110"/>
        <v>68.528427005200001</v>
      </c>
      <c r="X206" s="13">
        <f t="shared" si="110"/>
        <v>93.343119882199986</v>
      </c>
      <c r="Y206" s="13">
        <f t="shared" si="110"/>
        <v>100.724663943</v>
      </c>
      <c r="Z206" s="13">
        <f t="shared" si="110"/>
        <v>100.724663943</v>
      </c>
      <c r="AA206" s="13">
        <f t="shared" si="110"/>
        <v>116.30739684299998</v>
      </c>
      <c r="AB206" s="13">
        <f t="shared" si="110"/>
        <v>116.30739684299998</v>
      </c>
      <c r="AC206" s="13">
        <f t="shared" si="110"/>
        <v>149.87909756000002</v>
      </c>
      <c r="AD206" s="13">
        <f t="shared" si="110"/>
        <v>136.15892205999998</v>
      </c>
      <c r="AE206" s="13">
        <f t="shared" si="110"/>
        <v>136.15892205999998</v>
      </c>
      <c r="AF206" s="13">
        <f t="shared" si="110"/>
        <v>153.56088549</v>
      </c>
      <c r="AG206" s="13">
        <f t="shared" si="110"/>
        <v>142.35317043999999</v>
      </c>
      <c r="AH206" s="13">
        <f t="shared" si="110"/>
        <v>130.73858121999999</v>
      </c>
    </row>
    <row r="207" spans="1:34" s="13" customFormat="1" x14ac:dyDescent="0.25">
      <c r="A207" s="13" t="s">
        <v>100</v>
      </c>
      <c r="B207" s="14">
        <f>NPV(H206,N206:AH206)</f>
        <v>1318.0991860737001</v>
      </c>
    </row>
    <row r="208" spans="1:34" s="13" customFormat="1" x14ac:dyDescent="0.25">
      <c r="A208" s="13" t="s">
        <v>122</v>
      </c>
      <c r="B208" s="13" t="s">
        <v>188</v>
      </c>
      <c r="C208" s="13">
        <v>500</v>
      </c>
      <c r="D208" s="13">
        <v>6.35</v>
      </c>
      <c r="E208" s="13">
        <v>2019</v>
      </c>
      <c r="F208" s="13">
        <f>C208/B185</f>
        <v>3.9840637450199202E-2</v>
      </c>
      <c r="H208" s="13">
        <v>2.3E-2</v>
      </c>
      <c r="O208" s="13">
        <f>(C208*(D208/100))/2</f>
        <v>15.875</v>
      </c>
      <c r="P208" s="13">
        <f>C208*(D208/100)</f>
        <v>31.75</v>
      </c>
      <c r="Q208" s="13">
        <f>P208</f>
        <v>31.75</v>
      </c>
      <c r="R208" s="13">
        <v>0</v>
      </c>
      <c r="S208" s="13">
        <v>0</v>
      </c>
      <c r="T208" s="13">
        <f>T181*0.039841</f>
        <v>21.368999237000001</v>
      </c>
      <c r="U208" s="13">
        <f t="shared" ref="U208:AH208" si="111">U181*0.039841</f>
        <v>28.481159574599999</v>
      </c>
      <c r="V208" s="13">
        <f t="shared" si="111"/>
        <v>27.946333990599999</v>
      </c>
      <c r="W208" s="13">
        <f t="shared" si="111"/>
        <v>27.411508406600003</v>
      </c>
      <c r="X208" s="13">
        <f t="shared" si="111"/>
        <v>37.337435385100001</v>
      </c>
      <c r="Y208" s="13">
        <f t="shared" si="111"/>
        <v>40.290067831499996</v>
      </c>
      <c r="Z208" s="13">
        <f t="shared" si="111"/>
        <v>40.290067831499996</v>
      </c>
      <c r="AA208" s="13">
        <f t="shared" si="111"/>
        <v>46.523192281499995</v>
      </c>
      <c r="AB208" s="13">
        <f t="shared" si="111"/>
        <v>46.523192281499995</v>
      </c>
      <c r="AC208" s="13">
        <f t="shared" si="111"/>
        <v>59.951939980000013</v>
      </c>
      <c r="AD208" s="13">
        <f t="shared" si="111"/>
        <v>54.463842229999997</v>
      </c>
      <c r="AE208" s="13">
        <f t="shared" si="111"/>
        <v>54.463842229999997</v>
      </c>
      <c r="AF208" s="13">
        <f t="shared" si="111"/>
        <v>61.424662545000004</v>
      </c>
      <c r="AG208" s="13">
        <f t="shared" si="111"/>
        <v>56.941554020000005</v>
      </c>
      <c r="AH208" s="13">
        <f t="shared" si="111"/>
        <v>52.295695009999996</v>
      </c>
    </row>
    <row r="209" spans="1:34" s="13" customFormat="1" x14ac:dyDescent="0.25">
      <c r="A209" s="13" t="s">
        <v>100</v>
      </c>
      <c r="B209" s="14">
        <f>NPV(H208,N208:AH208)</f>
        <v>552.74702177089137</v>
      </c>
    </row>
    <row r="210" spans="1:34" s="13" customFormat="1" x14ac:dyDescent="0.25"/>
    <row r="211" spans="1:34" s="13" customFormat="1" x14ac:dyDescent="0.25">
      <c r="A211" s="13" t="s">
        <v>132</v>
      </c>
      <c r="B211" s="14">
        <f>B189+B191+B193+B195+B197+B199+B201+B203+B205+B207+B209</f>
        <v>14366.144590761996</v>
      </c>
    </row>
    <row r="212" spans="1:34" s="13" customFormat="1" x14ac:dyDescent="0.25">
      <c r="A212" s="13" t="s">
        <v>133</v>
      </c>
      <c r="B212" s="13">
        <f>B185</f>
        <v>12550</v>
      </c>
    </row>
    <row r="213" spans="1:34" s="13" customFormat="1" x14ac:dyDescent="0.25">
      <c r="A213" s="13" t="s">
        <v>41</v>
      </c>
      <c r="B213" s="15">
        <f>B211-B212</f>
        <v>1816.1445907619964</v>
      </c>
    </row>
    <row r="214" spans="1:34" s="13" customFormat="1" x14ac:dyDescent="0.25">
      <c r="A214" s="13" t="s">
        <v>40</v>
      </c>
      <c r="B214" s="16">
        <f>B213/B212</f>
        <v>0.14471271639537819</v>
      </c>
    </row>
    <row r="215" spans="1:34" s="13" customFormat="1" x14ac:dyDescent="0.25">
      <c r="B215" s="33"/>
    </row>
    <row r="216" spans="1:34" s="13" customFormat="1" x14ac:dyDescent="0.25">
      <c r="A216" s="13" t="s">
        <v>91</v>
      </c>
      <c r="B216" s="13">
        <v>12550</v>
      </c>
    </row>
    <row r="217" spans="1:34" s="13" customFormat="1" x14ac:dyDescent="0.25"/>
    <row r="218" spans="1:34" s="13" customFormat="1" x14ac:dyDescent="0.25">
      <c r="A218" s="12" t="s">
        <v>189</v>
      </c>
    </row>
    <row r="219" spans="1:34" s="13" customFormat="1" x14ac:dyDescent="0.25">
      <c r="B219" s="13" t="s">
        <v>92</v>
      </c>
      <c r="C219" s="13" t="s">
        <v>93</v>
      </c>
      <c r="D219" s="13" t="s">
        <v>94</v>
      </c>
      <c r="E219" s="13" t="s">
        <v>36</v>
      </c>
      <c r="F219" s="13" t="s">
        <v>95</v>
      </c>
      <c r="H219" s="13" t="s">
        <v>96</v>
      </c>
    </row>
    <row r="220" spans="1:34" s="13" customFormat="1" x14ac:dyDescent="0.25">
      <c r="A220" s="13" t="s">
        <v>98</v>
      </c>
      <c r="B220" s="23" t="s">
        <v>178</v>
      </c>
      <c r="C220" s="13">
        <v>1500</v>
      </c>
      <c r="D220" s="13">
        <v>7.55</v>
      </c>
      <c r="E220" s="13">
        <v>2019</v>
      </c>
      <c r="F220" s="13">
        <f>C220/B216</f>
        <v>0.11952191235059761</v>
      </c>
      <c r="H220" s="13">
        <v>2.3E-2</v>
      </c>
      <c r="O220" s="13">
        <f>(C220*(D220/100))/2</f>
        <v>56.625</v>
      </c>
      <c r="P220" s="13">
        <f>C220*D220/100</f>
        <v>113.25</v>
      </c>
      <c r="Q220" s="13">
        <f>P220</f>
        <v>113.25</v>
      </c>
      <c r="R220" s="13">
        <v>0</v>
      </c>
      <c r="S220" s="13">
        <v>0</v>
      </c>
      <c r="T220" s="13">
        <f>T182*0.119522</f>
        <v>64.106461354000004</v>
      </c>
      <c r="U220" s="13">
        <f t="shared" ref="U220:AH220" si="112">U182*0.119522</f>
        <v>85.442763853199992</v>
      </c>
      <c r="V220" s="13">
        <f t="shared" si="112"/>
        <v>83.838300525199998</v>
      </c>
      <c r="W220" s="13">
        <f t="shared" si="112"/>
        <v>82.233837197200003</v>
      </c>
      <c r="X220" s="13">
        <f t="shared" si="112"/>
        <v>136.65682810337998</v>
      </c>
      <c r="Y220" s="13">
        <f t="shared" si="112"/>
        <v>158.72183233217999</v>
      </c>
      <c r="Z220" s="13">
        <f t="shared" si="112"/>
        <v>158.72183233217999</v>
      </c>
      <c r="AA220" s="13">
        <f t="shared" si="112"/>
        <v>178.14571111817997</v>
      </c>
      <c r="AB220" s="13">
        <f t="shared" si="112"/>
        <v>172.08361503918002</v>
      </c>
      <c r="AC220" s="13">
        <f t="shared" si="112"/>
        <v>198.86460599330002</v>
      </c>
      <c r="AD220" s="13">
        <f t="shared" si="112"/>
        <v>172.50776395579999</v>
      </c>
      <c r="AE220" s="13">
        <f t="shared" si="112"/>
        <v>172.50776395579999</v>
      </c>
      <c r="AF220" s="13">
        <f t="shared" si="112"/>
        <v>224.81238398579995</v>
      </c>
      <c r="AG220" s="13">
        <f t="shared" si="112"/>
        <v>208.40434406479997</v>
      </c>
      <c r="AH220" s="13">
        <f t="shared" si="112"/>
        <v>191.40064235240001</v>
      </c>
    </row>
    <row r="221" spans="1:34" s="13" customFormat="1" x14ac:dyDescent="0.25">
      <c r="A221" s="13" t="s">
        <v>100</v>
      </c>
      <c r="B221" s="14">
        <f>NPV(H220,O220:AH220)</f>
        <v>1930.5846287143836</v>
      </c>
    </row>
    <row r="222" spans="1:34" s="13" customFormat="1" x14ac:dyDescent="0.25">
      <c r="A222" s="13" t="s">
        <v>101</v>
      </c>
      <c r="B222" s="24" t="s">
        <v>179</v>
      </c>
      <c r="C222" s="13">
        <v>1250</v>
      </c>
      <c r="D222" s="13">
        <v>6.75</v>
      </c>
      <c r="E222" s="13">
        <v>2018</v>
      </c>
      <c r="F222" s="13">
        <f>C222/B216</f>
        <v>9.9601593625498003E-2</v>
      </c>
      <c r="H222" s="13">
        <v>0.03</v>
      </c>
      <c r="N222" s="13">
        <f>(C222*(D222/100))/2</f>
        <v>42.1875</v>
      </c>
      <c r="O222" s="13">
        <f>C222*(D222/100)</f>
        <v>84.375</v>
      </c>
      <c r="P222" s="13">
        <f>O222</f>
        <v>84.375</v>
      </c>
      <c r="Q222" s="13">
        <f>P222</f>
        <v>84.375</v>
      </c>
      <c r="R222" s="13">
        <f>N222</f>
        <v>42.1875</v>
      </c>
      <c r="S222" s="13">
        <v>0</v>
      </c>
      <c r="T222" s="13">
        <f>T182*0.099602</f>
        <v>53.422229913999992</v>
      </c>
      <c r="U222" s="13">
        <f t="shared" ref="U222:AH222" si="113">U182*0.099602</f>
        <v>71.202541501199988</v>
      </c>
      <c r="V222" s="13">
        <f t="shared" si="113"/>
        <v>69.865484253199995</v>
      </c>
      <c r="W222" s="13">
        <f t="shared" si="113"/>
        <v>68.528427005200001</v>
      </c>
      <c r="X222" s="13">
        <f t="shared" si="113"/>
        <v>113.88107120657997</v>
      </c>
      <c r="Y222" s="13">
        <f t="shared" si="113"/>
        <v>132.26863626737997</v>
      </c>
      <c r="Z222" s="13">
        <f t="shared" si="113"/>
        <v>132.26863626737997</v>
      </c>
      <c r="AA222" s="13">
        <f t="shared" si="113"/>
        <v>148.45525609337997</v>
      </c>
      <c r="AB222" s="13">
        <f t="shared" si="113"/>
        <v>143.40349245438</v>
      </c>
      <c r="AC222" s="13">
        <f t="shared" si="113"/>
        <v>165.72105960530001</v>
      </c>
      <c r="AD222" s="13">
        <f t="shared" si="113"/>
        <v>143.75695106779997</v>
      </c>
      <c r="AE222" s="13">
        <f t="shared" si="113"/>
        <v>143.75695106779997</v>
      </c>
      <c r="AF222" s="13">
        <f t="shared" si="113"/>
        <v>187.34428029779997</v>
      </c>
      <c r="AG222" s="13">
        <f t="shared" si="113"/>
        <v>173.67086793679997</v>
      </c>
      <c r="AH222" s="13">
        <f t="shared" si="113"/>
        <v>159.50106908839999</v>
      </c>
    </row>
    <row r="223" spans="1:34" s="13" customFormat="1" x14ac:dyDescent="0.25">
      <c r="A223" s="13" t="s">
        <v>100</v>
      </c>
      <c r="B223" s="14">
        <f>NPV(H222,N222:AH222)</f>
        <v>1531.9724685561973</v>
      </c>
    </row>
    <row r="224" spans="1:34" s="13" customFormat="1" x14ac:dyDescent="0.25">
      <c r="A224" s="13" t="s">
        <v>104</v>
      </c>
      <c r="B224" s="23" t="s">
        <v>180</v>
      </c>
      <c r="C224" s="13">
        <v>1400</v>
      </c>
      <c r="D224" s="13">
        <v>7.85</v>
      </c>
      <c r="E224" s="13">
        <v>2019</v>
      </c>
      <c r="F224" s="13">
        <f>C224/B216</f>
        <v>0.11155378486055777</v>
      </c>
      <c r="H224" s="13">
        <v>2.9000000000000001E-2</v>
      </c>
      <c r="O224" s="13">
        <f>(C224*(D224/100))/2</f>
        <v>54.95</v>
      </c>
      <c r="P224" s="13">
        <f>C224*D224/100</f>
        <v>109.9</v>
      </c>
      <c r="Q224" s="13">
        <f>P224</f>
        <v>109.9</v>
      </c>
      <c r="R224" s="13">
        <f>O224</f>
        <v>54.95</v>
      </c>
      <c r="S224" s="13">
        <v>0</v>
      </c>
      <c r="T224" s="13">
        <f>T182*0.111554</f>
        <v>59.832768777999995</v>
      </c>
      <c r="U224" s="13">
        <f t="shared" ref="U224:AH224" si="114">U182*0.111554</f>
        <v>79.746674912399996</v>
      </c>
      <c r="V224" s="13">
        <f t="shared" si="114"/>
        <v>78.249174016400005</v>
      </c>
      <c r="W224" s="13">
        <f t="shared" si="114"/>
        <v>76.7516731204</v>
      </c>
      <c r="X224" s="13">
        <f t="shared" si="114"/>
        <v>127.54652534465998</v>
      </c>
      <c r="Y224" s="13">
        <f t="shared" si="114"/>
        <v>148.14055390625998</v>
      </c>
      <c r="Z224" s="13">
        <f t="shared" si="114"/>
        <v>148.14055390625998</v>
      </c>
      <c r="AA224" s="13">
        <f t="shared" si="114"/>
        <v>166.26952910825997</v>
      </c>
      <c r="AB224" s="13">
        <f t="shared" si="114"/>
        <v>160.61156600526002</v>
      </c>
      <c r="AC224" s="13">
        <f t="shared" si="114"/>
        <v>185.6071874381</v>
      </c>
      <c r="AD224" s="13">
        <f t="shared" si="114"/>
        <v>161.0074388006</v>
      </c>
      <c r="AE224" s="13">
        <f t="shared" si="114"/>
        <v>161.0074388006</v>
      </c>
      <c r="AF224" s="13">
        <f t="shared" si="114"/>
        <v>209.82514251059996</v>
      </c>
      <c r="AG224" s="13">
        <f t="shared" si="114"/>
        <v>194.51095361359998</v>
      </c>
      <c r="AH224" s="13">
        <f t="shared" si="114"/>
        <v>178.64081304679999</v>
      </c>
    </row>
    <row r="225" spans="1:34" s="13" customFormat="1" x14ac:dyDescent="0.25">
      <c r="A225" s="13" t="s">
        <v>100</v>
      </c>
      <c r="B225" s="14">
        <f>NPV(H224,O224:AH224)</f>
        <v>1736.8624737003438</v>
      </c>
    </row>
    <row r="226" spans="1:34" s="13" customFormat="1" x14ac:dyDescent="0.25">
      <c r="A226" s="13" t="s">
        <v>107</v>
      </c>
      <c r="B226" s="23" t="s">
        <v>181</v>
      </c>
      <c r="C226" s="13">
        <v>1000</v>
      </c>
      <c r="D226" s="13">
        <v>6.8250000000000002</v>
      </c>
      <c r="E226" s="13">
        <v>2016</v>
      </c>
      <c r="F226" s="13">
        <f>C226/B216</f>
        <v>7.9681274900398405E-2</v>
      </c>
      <c r="H226" s="13">
        <v>1.9E-2</v>
      </c>
      <c r="M226" s="13">
        <f>C226*(D226/100)</f>
        <v>68.25</v>
      </c>
      <c r="N226" s="13">
        <f>M226</f>
        <v>68.25</v>
      </c>
      <c r="O226" s="13">
        <f t="shared" ref="O226:Q226" si="115">N226</f>
        <v>68.25</v>
      </c>
      <c r="P226" s="13">
        <f t="shared" si="115"/>
        <v>68.25</v>
      </c>
      <c r="Q226" s="13">
        <f t="shared" si="115"/>
        <v>68.25</v>
      </c>
      <c r="R226" s="13">
        <v>0</v>
      </c>
      <c r="S226" s="13">
        <v>0</v>
      </c>
      <c r="T226" s="13">
        <f>T182*0.079681</f>
        <v>42.737462117</v>
      </c>
      <c r="U226" s="13">
        <f t="shared" ref="U226:AH226" si="116">U182*0.079681</f>
        <v>56.961604278599999</v>
      </c>
      <c r="V226" s="13">
        <f t="shared" si="116"/>
        <v>55.891966534600002</v>
      </c>
      <c r="W226" s="13">
        <f t="shared" si="116"/>
        <v>54.822328790600004</v>
      </c>
      <c r="X226" s="13">
        <f t="shared" si="116"/>
        <v>91.104170948489994</v>
      </c>
      <c r="Y226" s="13">
        <f t="shared" si="116"/>
        <v>105.81411223088999</v>
      </c>
      <c r="Z226" s="13">
        <f t="shared" si="116"/>
        <v>105.81411223088999</v>
      </c>
      <c r="AA226" s="13">
        <f t="shared" si="116"/>
        <v>118.76331058388999</v>
      </c>
      <c r="AB226" s="13">
        <f t="shared" si="116"/>
        <v>114.72193010439001</v>
      </c>
      <c r="AC226" s="13">
        <f t="shared" si="116"/>
        <v>132.57584938465001</v>
      </c>
      <c r="AD226" s="13">
        <f t="shared" si="116"/>
        <v>115.00469486589999</v>
      </c>
      <c r="AE226" s="13">
        <f t="shared" si="116"/>
        <v>115.00469486589999</v>
      </c>
      <c r="AF226" s="13">
        <f t="shared" si="116"/>
        <v>149.87429568089996</v>
      </c>
      <c r="AG226" s="13">
        <f t="shared" si="116"/>
        <v>138.93564816039998</v>
      </c>
      <c r="AH226" s="13">
        <f t="shared" si="116"/>
        <v>127.5998944402</v>
      </c>
    </row>
    <row r="227" spans="1:34" s="13" customFormat="1" x14ac:dyDescent="0.25">
      <c r="A227" s="13" t="s">
        <v>100</v>
      </c>
      <c r="B227" s="14">
        <f>NPV(H226,M226:AH226)</f>
        <v>1449.0549903362648</v>
      </c>
    </row>
    <row r="228" spans="1:34" s="13" customFormat="1" x14ac:dyDescent="0.25">
      <c r="A228" s="13" t="s">
        <v>109</v>
      </c>
      <c r="B228" s="23" t="s">
        <v>182</v>
      </c>
      <c r="C228" s="13">
        <v>1500</v>
      </c>
      <c r="D228" s="13">
        <v>6.85</v>
      </c>
      <c r="E228" s="13">
        <v>2015</v>
      </c>
      <c r="F228" s="13">
        <f>C228/B216</f>
        <v>0.11952191235059761</v>
      </c>
      <c r="H228" s="13">
        <v>2.7E-2</v>
      </c>
      <c r="L228" s="13">
        <f>C228*(D228/100)</f>
        <v>102.74999999999999</v>
      </c>
      <c r="M228" s="13">
        <f>L228</f>
        <v>102.74999999999999</v>
      </c>
      <c r="N228" s="13">
        <f t="shared" ref="N228:Q228" si="117">M228</f>
        <v>102.74999999999999</v>
      </c>
      <c r="O228" s="13">
        <f t="shared" si="117"/>
        <v>102.74999999999999</v>
      </c>
      <c r="P228" s="13">
        <f t="shared" si="117"/>
        <v>102.74999999999999</v>
      </c>
      <c r="Q228" s="13">
        <f t="shared" si="117"/>
        <v>102.74999999999999</v>
      </c>
      <c r="R228" s="13">
        <f>(C228*(D228/100))/2</f>
        <v>51.374999999999993</v>
      </c>
      <c r="S228" s="13">
        <v>0</v>
      </c>
      <c r="T228" s="13">
        <f>T182*0.119522</f>
        <v>64.106461354000004</v>
      </c>
      <c r="U228" s="13">
        <f t="shared" ref="U228:AH228" si="118">U182*0.119522</f>
        <v>85.442763853199992</v>
      </c>
      <c r="V228" s="13">
        <f t="shared" si="118"/>
        <v>83.838300525199998</v>
      </c>
      <c r="W228" s="13">
        <f t="shared" si="118"/>
        <v>82.233837197200003</v>
      </c>
      <c r="X228" s="13">
        <f t="shared" si="118"/>
        <v>136.65682810337998</v>
      </c>
      <c r="Y228" s="13">
        <f t="shared" si="118"/>
        <v>158.72183233217999</v>
      </c>
      <c r="Z228" s="13">
        <f t="shared" si="118"/>
        <v>158.72183233217999</v>
      </c>
      <c r="AA228" s="13">
        <f t="shared" si="118"/>
        <v>178.14571111817997</v>
      </c>
      <c r="AB228" s="13">
        <f t="shared" si="118"/>
        <v>172.08361503918002</v>
      </c>
      <c r="AC228" s="13">
        <f t="shared" si="118"/>
        <v>198.86460599330002</v>
      </c>
      <c r="AD228" s="13">
        <f t="shared" si="118"/>
        <v>172.50776395579999</v>
      </c>
      <c r="AE228" s="13">
        <f t="shared" si="118"/>
        <v>172.50776395579999</v>
      </c>
      <c r="AF228" s="13">
        <f t="shared" si="118"/>
        <v>224.81238398579995</v>
      </c>
      <c r="AG228" s="13">
        <f t="shared" si="118"/>
        <v>208.40434406479997</v>
      </c>
      <c r="AH228" s="13">
        <f t="shared" si="118"/>
        <v>191.40064235240001</v>
      </c>
    </row>
    <row r="229" spans="1:34" s="13" customFormat="1" x14ac:dyDescent="0.25">
      <c r="A229" s="13" t="s">
        <v>100</v>
      </c>
      <c r="B229" s="14">
        <f>NPV(H228,L228:AH228)</f>
        <v>2057.6287878233206</v>
      </c>
    </row>
    <row r="230" spans="1:34" s="13" customFormat="1" x14ac:dyDescent="0.25">
      <c r="A230" s="13" t="s">
        <v>111</v>
      </c>
      <c r="B230" s="25" t="s">
        <v>183</v>
      </c>
      <c r="C230" s="13">
        <v>650</v>
      </c>
      <c r="D230" s="13">
        <v>6.125</v>
      </c>
      <c r="E230" s="13">
        <v>2015</v>
      </c>
      <c r="F230" s="13">
        <f>C230/B216</f>
        <v>5.1792828685258967E-2</v>
      </c>
      <c r="H230" s="13">
        <v>2.7E-2</v>
      </c>
      <c r="K230" s="13">
        <f>(C230*(D230/100))/2</f>
        <v>19.90625</v>
      </c>
      <c r="L230" s="13">
        <f>C230*(D230/100)</f>
        <v>39.8125</v>
      </c>
      <c r="M230" s="13">
        <f>L230</f>
        <v>39.8125</v>
      </c>
      <c r="N230" s="13">
        <f t="shared" ref="N230:Q230" si="119">M230</f>
        <v>39.8125</v>
      </c>
      <c r="O230" s="13">
        <f t="shared" si="119"/>
        <v>39.8125</v>
      </c>
      <c r="P230" s="13">
        <f t="shared" si="119"/>
        <v>39.8125</v>
      </c>
      <c r="Q230" s="13">
        <f t="shared" si="119"/>
        <v>39.8125</v>
      </c>
      <c r="R230" s="13">
        <v>0</v>
      </c>
      <c r="S230" s="13">
        <v>0</v>
      </c>
      <c r="T230" s="13">
        <f>T182*0.051793</f>
        <v>27.779538100999996</v>
      </c>
      <c r="U230" s="13">
        <f t="shared" ref="U230:AH230" si="120">U182*0.051793</f>
        <v>37.0252929858</v>
      </c>
      <c r="V230" s="13">
        <f t="shared" si="120"/>
        <v>36.330023753799999</v>
      </c>
      <c r="W230" s="13">
        <f t="shared" si="120"/>
        <v>35.634754521799998</v>
      </c>
      <c r="X230" s="13">
        <f t="shared" si="120"/>
        <v>59.218111292969986</v>
      </c>
      <c r="Y230" s="13">
        <f t="shared" si="120"/>
        <v>68.779637740169989</v>
      </c>
      <c r="Z230" s="13">
        <f t="shared" si="120"/>
        <v>68.779637740169989</v>
      </c>
      <c r="AA230" s="13">
        <f t="shared" si="120"/>
        <v>77.196673549169986</v>
      </c>
      <c r="AB230" s="13">
        <f t="shared" si="120"/>
        <v>74.569758485670008</v>
      </c>
      <c r="AC230" s="13">
        <f t="shared" si="120"/>
        <v>86.174884441450004</v>
      </c>
      <c r="AD230" s="13">
        <f t="shared" si="120"/>
        <v>74.753556822699991</v>
      </c>
      <c r="AE230" s="13">
        <f t="shared" si="120"/>
        <v>74.753556822699991</v>
      </c>
      <c r="AF230" s="13">
        <f t="shared" si="120"/>
        <v>97.418950517699983</v>
      </c>
      <c r="AG230" s="13">
        <f t="shared" si="120"/>
        <v>90.308781581199995</v>
      </c>
      <c r="AH230" s="13">
        <f t="shared" si="120"/>
        <v>82.940491870599999</v>
      </c>
    </row>
    <row r="231" spans="1:34" s="13" customFormat="1" x14ac:dyDescent="0.25">
      <c r="A231" s="13" t="s">
        <v>100</v>
      </c>
      <c r="B231" s="14">
        <f>NPV(H230,K230:AH230)</f>
        <v>844.48671516076092</v>
      </c>
    </row>
    <row r="232" spans="1:34" s="13" customFormat="1" x14ac:dyDescent="0.25">
      <c r="A232" s="13" t="s">
        <v>113</v>
      </c>
      <c r="B232" s="23" t="s">
        <v>184</v>
      </c>
      <c r="C232" s="13">
        <v>1000</v>
      </c>
      <c r="D232" s="13">
        <v>6.85</v>
      </c>
      <c r="E232" s="13">
        <v>2019</v>
      </c>
      <c r="F232" s="13">
        <f>C232/B216</f>
        <v>7.9681274900398405E-2</v>
      </c>
      <c r="H232" s="13">
        <v>2.9000000000000001E-2</v>
      </c>
      <c r="O232" s="13">
        <f>(C232*(D232/100))/2</f>
        <v>34.249999999999993</v>
      </c>
      <c r="P232" s="13">
        <f>C232*(D232/100)</f>
        <v>68.499999999999986</v>
      </c>
      <c r="Q232" s="13">
        <f>P232</f>
        <v>68.499999999999986</v>
      </c>
      <c r="R232" s="13">
        <f>O232</f>
        <v>34.249999999999993</v>
      </c>
      <c r="S232" s="13">
        <v>0</v>
      </c>
      <c r="T232" s="13">
        <f>T182*0.079681</f>
        <v>42.737462117</v>
      </c>
      <c r="U232" s="13">
        <f t="shared" ref="U232:AH232" si="121">U182*0.079681</f>
        <v>56.961604278599999</v>
      </c>
      <c r="V232" s="13">
        <f t="shared" si="121"/>
        <v>55.891966534600002</v>
      </c>
      <c r="W232" s="13">
        <f t="shared" si="121"/>
        <v>54.822328790600004</v>
      </c>
      <c r="X232" s="13">
        <f t="shared" si="121"/>
        <v>91.104170948489994</v>
      </c>
      <c r="Y232" s="13">
        <f t="shared" si="121"/>
        <v>105.81411223088999</v>
      </c>
      <c r="Z232" s="13">
        <f t="shared" si="121"/>
        <v>105.81411223088999</v>
      </c>
      <c r="AA232" s="13">
        <f t="shared" si="121"/>
        <v>118.76331058388999</v>
      </c>
      <c r="AB232" s="13">
        <f t="shared" si="121"/>
        <v>114.72193010439001</v>
      </c>
      <c r="AC232" s="13">
        <f t="shared" si="121"/>
        <v>132.57584938465001</v>
      </c>
      <c r="AD232" s="13">
        <f t="shared" si="121"/>
        <v>115.00469486589999</v>
      </c>
      <c r="AE232" s="13">
        <f t="shared" si="121"/>
        <v>115.00469486589999</v>
      </c>
      <c r="AF232" s="13">
        <f t="shared" si="121"/>
        <v>149.87429568089996</v>
      </c>
      <c r="AG232" s="13">
        <f t="shared" si="121"/>
        <v>138.93564816039998</v>
      </c>
      <c r="AH232" s="13">
        <f t="shared" si="121"/>
        <v>127.5998944402</v>
      </c>
    </row>
    <row r="233" spans="1:34" s="13" customFormat="1" x14ac:dyDescent="0.25">
      <c r="A233" s="13" t="s">
        <v>100</v>
      </c>
      <c r="B233" s="14">
        <f>NPV(H232,O232:AH232)</f>
        <v>1212.6693321184475</v>
      </c>
    </row>
    <row r="234" spans="1:34" s="13" customFormat="1" x14ac:dyDescent="0.25">
      <c r="A234" s="13" t="s">
        <v>115</v>
      </c>
      <c r="B234" s="23" t="s">
        <v>185</v>
      </c>
      <c r="C234" s="13">
        <v>1000</v>
      </c>
      <c r="D234" s="13">
        <v>5.875</v>
      </c>
      <c r="E234" s="13">
        <v>2012</v>
      </c>
      <c r="F234" s="13">
        <f>C234/B216</f>
        <v>7.9681274900398405E-2</v>
      </c>
      <c r="H234" s="13">
        <v>2.8000000000000001E-2</v>
      </c>
      <c r="I234" s="13">
        <f>C234*(D234/100)</f>
        <v>58.75</v>
      </c>
      <c r="J234" s="13">
        <f>I234</f>
        <v>58.75</v>
      </c>
      <c r="K234" s="13">
        <f t="shared" ref="K234:Q234" si="122">J234</f>
        <v>58.75</v>
      </c>
      <c r="L234" s="13">
        <f t="shared" si="122"/>
        <v>58.75</v>
      </c>
      <c r="M234" s="13">
        <f t="shared" si="122"/>
        <v>58.75</v>
      </c>
      <c r="N234" s="13">
        <f t="shared" si="122"/>
        <v>58.75</v>
      </c>
      <c r="O234" s="13">
        <f t="shared" si="122"/>
        <v>58.75</v>
      </c>
      <c r="P234" s="13">
        <f t="shared" si="122"/>
        <v>58.75</v>
      </c>
      <c r="Q234" s="13">
        <f t="shared" si="122"/>
        <v>58.75</v>
      </c>
      <c r="R234" s="13">
        <v>0</v>
      </c>
      <c r="S234" s="13">
        <v>0</v>
      </c>
      <c r="T234" s="13">
        <f>T182*0.079681</f>
        <v>42.737462117</v>
      </c>
      <c r="U234" s="13">
        <f t="shared" ref="U234:AH234" si="123">U182*0.079681</f>
        <v>56.961604278599999</v>
      </c>
      <c r="V234" s="13">
        <f t="shared" si="123"/>
        <v>55.891966534600002</v>
      </c>
      <c r="W234" s="13">
        <f t="shared" si="123"/>
        <v>54.822328790600004</v>
      </c>
      <c r="X234" s="13">
        <f t="shared" si="123"/>
        <v>91.104170948489994</v>
      </c>
      <c r="Y234" s="13">
        <f t="shared" si="123"/>
        <v>105.81411223088999</v>
      </c>
      <c r="Z234" s="13">
        <f t="shared" si="123"/>
        <v>105.81411223088999</v>
      </c>
      <c r="AA234" s="13">
        <f t="shared" si="123"/>
        <v>118.76331058388999</v>
      </c>
      <c r="AB234" s="13">
        <f t="shared" si="123"/>
        <v>114.72193010439001</v>
      </c>
      <c r="AC234" s="13">
        <f t="shared" si="123"/>
        <v>132.57584938465001</v>
      </c>
      <c r="AD234" s="13">
        <f t="shared" si="123"/>
        <v>115.00469486589999</v>
      </c>
      <c r="AE234" s="13">
        <f t="shared" si="123"/>
        <v>115.00469486589999</v>
      </c>
      <c r="AF234" s="13">
        <f t="shared" si="123"/>
        <v>149.87429568089996</v>
      </c>
      <c r="AG234" s="13">
        <f t="shared" si="123"/>
        <v>138.93564816039998</v>
      </c>
      <c r="AH234" s="13">
        <f t="shared" si="123"/>
        <v>127.5998944402</v>
      </c>
    </row>
    <row r="235" spans="1:34" s="13" customFormat="1" x14ac:dyDescent="0.25">
      <c r="A235" s="13" t="s">
        <v>100</v>
      </c>
      <c r="B235" s="14">
        <f>NPV(H234,I234:AH234)</f>
        <v>1338.7673465185983</v>
      </c>
    </row>
    <row r="236" spans="1:34" s="13" customFormat="1" x14ac:dyDescent="0.25">
      <c r="A236" s="13" t="s">
        <v>118</v>
      </c>
      <c r="B236" s="13" t="s">
        <v>186</v>
      </c>
      <c r="C236" s="13">
        <v>1500</v>
      </c>
      <c r="D236" s="13">
        <v>6.2</v>
      </c>
      <c r="E236" s="13">
        <v>2017</v>
      </c>
      <c r="F236" s="13">
        <f>C236/B216</f>
        <v>0.11952191235059761</v>
      </c>
      <c r="H236" s="13">
        <v>2.8000000000000001E-2</v>
      </c>
      <c r="M236" s="13">
        <f>(C236*(D236/100))/2</f>
        <v>46.5</v>
      </c>
      <c r="N236" s="13">
        <f>C236*(D236/100)</f>
        <v>93</v>
      </c>
      <c r="O236" s="13">
        <f>N236</f>
        <v>93</v>
      </c>
      <c r="P236" s="13">
        <f t="shared" ref="P236:Q236" si="124">O236</f>
        <v>93</v>
      </c>
      <c r="Q236" s="13">
        <f t="shared" si="124"/>
        <v>93</v>
      </c>
      <c r="R236" s="13">
        <f>M236</f>
        <v>46.5</v>
      </c>
      <c r="S236" s="13">
        <v>0</v>
      </c>
      <c r="T236" s="13">
        <f>T182*0.119522</f>
        <v>64.106461354000004</v>
      </c>
      <c r="U236" s="13">
        <f t="shared" ref="U236:AH236" si="125">U182*0.119522</f>
        <v>85.442763853199992</v>
      </c>
      <c r="V236" s="13">
        <f t="shared" si="125"/>
        <v>83.838300525199998</v>
      </c>
      <c r="W236" s="13">
        <f t="shared" si="125"/>
        <v>82.233837197200003</v>
      </c>
      <c r="X236" s="13">
        <f t="shared" si="125"/>
        <v>136.65682810337998</v>
      </c>
      <c r="Y236" s="13">
        <f t="shared" si="125"/>
        <v>158.72183233217999</v>
      </c>
      <c r="Z236" s="13">
        <f t="shared" si="125"/>
        <v>158.72183233217999</v>
      </c>
      <c r="AA236" s="13">
        <f t="shared" si="125"/>
        <v>178.14571111817997</v>
      </c>
      <c r="AB236" s="13">
        <f t="shared" si="125"/>
        <v>172.08361503918002</v>
      </c>
      <c r="AC236" s="13">
        <f t="shared" si="125"/>
        <v>198.86460599330002</v>
      </c>
      <c r="AD236" s="13">
        <f t="shared" si="125"/>
        <v>172.50776395579999</v>
      </c>
      <c r="AE236" s="13">
        <f t="shared" si="125"/>
        <v>172.50776395579999</v>
      </c>
      <c r="AF236" s="13">
        <f t="shared" si="125"/>
        <v>224.81238398579995</v>
      </c>
      <c r="AG236" s="13">
        <f t="shared" si="125"/>
        <v>208.40434406479997</v>
      </c>
      <c r="AH236" s="13">
        <f t="shared" si="125"/>
        <v>191.40064235240001</v>
      </c>
    </row>
    <row r="237" spans="1:34" s="13" customFormat="1" x14ac:dyDescent="0.25">
      <c r="A237" s="13" t="s">
        <v>100</v>
      </c>
      <c r="B237" s="14">
        <f>NPV(H236,M236:AH236)</f>
        <v>1891.7311930929739</v>
      </c>
    </row>
    <row r="238" spans="1:34" s="13" customFormat="1" x14ac:dyDescent="0.25">
      <c r="A238" s="13" t="s">
        <v>120</v>
      </c>
      <c r="B238" s="13" t="s">
        <v>187</v>
      </c>
      <c r="C238" s="13">
        <v>1250</v>
      </c>
      <c r="D238" s="13">
        <v>5.75</v>
      </c>
      <c r="E238" s="13">
        <v>2018</v>
      </c>
      <c r="F238" s="13">
        <f>C238/B216</f>
        <v>9.9601593625498003E-2</v>
      </c>
      <c r="H238" s="13">
        <v>0.03</v>
      </c>
      <c r="N238" s="13">
        <f>(C238*(D238/100))/2</f>
        <v>35.9375</v>
      </c>
      <c r="O238" s="13">
        <f>C238*(D238/100)</f>
        <v>71.875</v>
      </c>
      <c r="P238" s="13">
        <f>O238</f>
        <v>71.875</v>
      </c>
      <c r="Q238" s="13">
        <f>P238</f>
        <v>71.875</v>
      </c>
      <c r="R238" s="13">
        <f>N238</f>
        <v>35.9375</v>
      </c>
      <c r="S238" s="13">
        <v>0</v>
      </c>
      <c r="T238" s="13">
        <f>T182*0.099602</f>
        <v>53.422229913999992</v>
      </c>
      <c r="U238" s="13">
        <f t="shared" ref="U238:AH238" si="126">U182*0.099602</f>
        <v>71.202541501199988</v>
      </c>
      <c r="V238" s="13">
        <f t="shared" si="126"/>
        <v>69.865484253199995</v>
      </c>
      <c r="W238" s="13">
        <f t="shared" si="126"/>
        <v>68.528427005200001</v>
      </c>
      <c r="X238" s="13">
        <f t="shared" si="126"/>
        <v>113.88107120657997</v>
      </c>
      <c r="Y238" s="13">
        <f t="shared" si="126"/>
        <v>132.26863626737997</v>
      </c>
      <c r="Z238" s="13">
        <f t="shared" si="126"/>
        <v>132.26863626737997</v>
      </c>
      <c r="AA238" s="13">
        <f t="shared" si="126"/>
        <v>148.45525609337997</v>
      </c>
      <c r="AB238" s="13">
        <f t="shared" si="126"/>
        <v>143.40349245438</v>
      </c>
      <c r="AC238" s="13">
        <f t="shared" si="126"/>
        <v>165.72105960530001</v>
      </c>
      <c r="AD238" s="13">
        <f t="shared" si="126"/>
        <v>143.75695106779997</v>
      </c>
      <c r="AE238" s="13">
        <f t="shared" si="126"/>
        <v>143.75695106779997</v>
      </c>
      <c r="AF238" s="13">
        <f t="shared" si="126"/>
        <v>187.34428029779997</v>
      </c>
      <c r="AG238" s="13">
        <f t="shared" si="126"/>
        <v>173.67086793679997</v>
      </c>
      <c r="AH238" s="13">
        <f t="shared" si="126"/>
        <v>159.50106908839999</v>
      </c>
    </row>
    <row r="239" spans="1:34" s="13" customFormat="1" x14ac:dyDescent="0.25">
      <c r="A239" s="13" t="s">
        <v>100</v>
      </c>
      <c r="B239" s="14">
        <f>NPV(H238,N238:AH238)</f>
        <v>1486.1853947837153</v>
      </c>
    </row>
    <row r="240" spans="1:34" s="13" customFormat="1" x14ac:dyDescent="0.25">
      <c r="A240" s="13" t="s">
        <v>122</v>
      </c>
      <c r="B240" s="13" t="s">
        <v>188</v>
      </c>
      <c r="C240" s="13">
        <v>500</v>
      </c>
      <c r="D240" s="13">
        <v>6.35</v>
      </c>
      <c r="E240" s="13">
        <v>2019</v>
      </c>
      <c r="F240" s="13">
        <f>C240/B216</f>
        <v>3.9840637450199202E-2</v>
      </c>
      <c r="H240" s="13">
        <v>2.3E-2</v>
      </c>
      <c r="O240" s="13">
        <f>(C240*(D240/100))/2</f>
        <v>15.875</v>
      </c>
      <c r="P240" s="13">
        <f>C240*(D240/100)</f>
        <v>31.75</v>
      </c>
      <c r="Q240" s="13">
        <f>P240</f>
        <v>31.75</v>
      </c>
      <c r="R240" s="13">
        <v>0</v>
      </c>
      <c r="S240" s="13">
        <v>0</v>
      </c>
      <c r="T240" s="13">
        <f>T182*0.039841</f>
        <v>21.368999237000001</v>
      </c>
      <c r="U240" s="13">
        <f t="shared" ref="U240:AH240" si="127">U182*0.039841</f>
        <v>28.481159574599999</v>
      </c>
      <c r="V240" s="13">
        <f t="shared" si="127"/>
        <v>27.946333990599999</v>
      </c>
      <c r="W240" s="13">
        <f t="shared" si="127"/>
        <v>27.411508406600003</v>
      </c>
      <c r="X240" s="13">
        <f t="shared" si="127"/>
        <v>45.552657154889992</v>
      </c>
      <c r="Y240" s="13">
        <f t="shared" si="127"/>
        <v>52.907720101289996</v>
      </c>
      <c r="Z240" s="13">
        <f t="shared" si="127"/>
        <v>52.907720101289996</v>
      </c>
      <c r="AA240" s="13">
        <f t="shared" si="127"/>
        <v>59.382400534289992</v>
      </c>
      <c r="AB240" s="13">
        <f t="shared" si="127"/>
        <v>57.361684934790006</v>
      </c>
      <c r="AC240" s="13">
        <f t="shared" si="127"/>
        <v>66.288756608650004</v>
      </c>
      <c r="AD240" s="13">
        <f t="shared" si="127"/>
        <v>57.503069089899995</v>
      </c>
      <c r="AE240" s="13">
        <f t="shared" si="127"/>
        <v>57.503069089899995</v>
      </c>
      <c r="AF240" s="13">
        <f t="shared" si="127"/>
        <v>74.938088304899992</v>
      </c>
      <c r="AG240" s="13">
        <f t="shared" si="127"/>
        <v>69.468695904399993</v>
      </c>
      <c r="AH240" s="13">
        <f t="shared" si="127"/>
        <v>63.800747912200002</v>
      </c>
    </row>
    <row r="241" spans="1:34" s="13" customFormat="1" x14ac:dyDescent="0.25">
      <c r="A241" s="13" t="s">
        <v>100</v>
      </c>
      <c r="B241" s="14">
        <f>NPV(H240,N240:AH240)</f>
        <v>629.2627147104954</v>
      </c>
    </row>
    <row r="242" spans="1:34" s="13" customFormat="1" x14ac:dyDescent="0.25"/>
    <row r="243" spans="1:34" s="13" customFormat="1" x14ac:dyDescent="0.25">
      <c r="A243" s="13" t="s">
        <v>132</v>
      </c>
      <c r="B243" s="14">
        <f>B221+B223+B225+B227+B229+B231+B233+B235+B237+B239+B241</f>
        <v>16109.206045515501</v>
      </c>
    </row>
    <row r="244" spans="1:34" s="13" customFormat="1" x14ac:dyDescent="0.25">
      <c r="A244" s="13" t="s">
        <v>133</v>
      </c>
      <c r="B244" s="13">
        <f>B216</f>
        <v>12550</v>
      </c>
    </row>
    <row r="245" spans="1:34" s="13" customFormat="1" x14ac:dyDescent="0.25">
      <c r="A245" s="13" t="s">
        <v>41</v>
      </c>
      <c r="B245" s="15">
        <f>B243-B244</f>
        <v>3559.2060455155006</v>
      </c>
    </row>
    <row r="246" spans="1:34" s="13" customFormat="1" x14ac:dyDescent="0.25">
      <c r="A246" s="13" t="s">
        <v>40</v>
      </c>
      <c r="B246" s="16">
        <f>B245/B244</f>
        <v>0.28360207533988052</v>
      </c>
    </row>
    <row r="247" spans="1:34" s="13" customFormat="1" x14ac:dyDescent="0.25"/>
    <row r="248" spans="1:34" s="13" customFormat="1" x14ac:dyDescent="0.25">
      <c r="A248" s="13" t="s">
        <v>91</v>
      </c>
      <c r="B248" s="13">
        <v>12550</v>
      </c>
    </row>
    <row r="249" spans="1:34" s="13" customFormat="1" x14ac:dyDescent="0.25"/>
    <row r="250" spans="1:34" s="13" customFormat="1" x14ac:dyDescent="0.25">
      <c r="A250" s="12" t="s">
        <v>190</v>
      </c>
    </row>
    <row r="251" spans="1:34" s="13" customFormat="1" x14ac:dyDescent="0.25">
      <c r="B251" s="13" t="s">
        <v>92</v>
      </c>
      <c r="C251" s="13" t="s">
        <v>93</v>
      </c>
      <c r="D251" s="13" t="s">
        <v>94</v>
      </c>
      <c r="E251" s="13" t="s">
        <v>36</v>
      </c>
      <c r="F251" s="13" t="s">
        <v>95</v>
      </c>
      <c r="H251" s="13" t="s">
        <v>96</v>
      </c>
    </row>
    <row r="252" spans="1:34" s="13" customFormat="1" x14ac:dyDescent="0.25">
      <c r="A252" s="13" t="s">
        <v>98</v>
      </c>
      <c r="B252" s="23" t="s">
        <v>178</v>
      </c>
      <c r="C252" s="13">
        <v>1500</v>
      </c>
      <c r="D252" s="13">
        <v>7.55</v>
      </c>
      <c r="E252" s="13">
        <v>2019</v>
      </c>
      <c r="F252" s="13">
        <f>C252/B248</f>
        <v>0.11952191235059761</v>
      </c>
      <c r="H252" s="13">
        <v>2.3E-2</v>
      </c>
      <c r="O252" s="13">
        <f>(C252*(D252/100))/2</f>
        <v>56.625</v>
      </c>
      <c r="P252" s="13">
        <f>C252*D252/100</f>
        <v>113.25</v>
      </c>
      <c r="Q252" s="13">
        <f>P252</f>
        <v>113.25</v>
      </c>
      <c r="R252" s="13">
        <v>0</v>
      </c>
      <c r="S252" s="13">
        <v>0</v>
      </c>
      <c r="T252" s="13">
        <f>T183*0.119522</f>
        <v>64.106461354000004</v>
      </c>
      <c r="U252" s="13">
        <f t="shared" ref="U252:AH252" si="128">U183*0.119522</f>
        <v>85.442763853199992</v>
      </c>
      <c r="V252" s="13">
        <f t="shared" si="128"/>
        <v>83.838300525199998</v>
      </c>
      <c r="W252" s="13">
        <f t="shared" si="128"/>
        <v>82.233837197200003</v>
      </c>
      <c r="X252" s="13">
        <f t="shared" si="128"/>
        <v>108.54512402200999</v>
      </c>
      <c r="Y252" s="13">
        <f t="shared" si="128"/>
        <v>97.690960683810005</v>
      </c>
      <c r="Z252" s="13">
        <f t="shared" si="128"/>
        <v>97.690960683810005</v>
      </c>
      <c r="AA252" s="13">
        <f t="shared" si="128"/>
        <v>112.46334203481</v>
      </c>
      <c r="AB252" s="13">
        <f t="shared" si="128"/>
        <v>112.46334203481</v>
      </c>
      <c r="AC252" s="13">
        <f t="shared" si="128"/>
        <v>146.08290194810002</v>
      </c>
      <c r="AD252" s="13">
        <f t="shared" si="128"/>
        <v>154.68699192310001</v>
      </c>
      <c r="AE252" s="13">
        <f t="shared" si="128"/>
        <v>154.68699192310001</v>
      </c>
      <c r="AF252" s="13">
        <f t="shared" si="128"/>
        <v>145.57523225310001</v>
      </c>
      <c r="AG252" s="13">
        <f t="shared" si="128"/>
        <v>134.95035394360002</v>
      </c>
      <c r="AH252" s="13">
        <f t="shared" si="128"/>
        <v>123.93976021180001</v>
      </c>
    </row>
    <row r="253" spans="1:34" s="13" customFormat="1" x14ac:dyDescent="0.25">
      <c r="A253" s="13" t="s">
        <v>100</v>
      </c>
      <c r="B253" s="14">
        <f>NPV(H252,O252:AH252)</f>
        <v>1516.8367726070605</v>
      </c>
    </row>
    <row r="254" spans="1:34" s="13" customFormat="1" x14ac:dyDescent="0.25">
      <c r="A254" s="13" t="s">
        <v>101</v>
      </c>
      <c r="B254" s="24" t="s">
        <v>179</v>
      </c>
      <c r="C254" s="13">
        <v>1250</v>
      </c>
      <c r="D254" s="13">
        <v>6.75</v>
      </c>
      <c r="E254" s="13">
        <v>2018</v>
      </c>
      <c r="F254" s="13">
        <f>C254/B248</f>
        <v>9.9601593625498003E-2</v>
      </c>
      <c r="H254" s="13">
        <v>0.03</v>
      </c>
      <c r="N254" s="13">
        <f>(C254*(D254/100))/2</f>
        <v>42.1875</v>
      </c>
      <c r="O254" s="13">
        <f>C254*(D254/100)</f>
        <v>84.375</v>
      </c>
      <c r="P254" s="13">
        <f>O254</f>
        <v>84.375</v>
      </c>
      <c r="Q254" s="13">
        <f>P254</f>
        <v>84.375</v>
      </c>
      <c r="R254" s="13">
        <f>N254</f>
        <v>42.1875</v>
      </c>
      <c r="S254" s="13">
        <v>0</v>
      </c>
      <c r="T254" s="13">
        <f>T183*0.099602</f>
        <v>53.422229913999992</v>
      </c>
      <c r="U254" s="13">
        <f t="shared" ref="U254:AH254" si="129">U183*0.099602</f>
        <v>71.202541501199988</v>
      </c>
      <c r="V254" s="13">
        <f t="shared" si="129"/>
        <v>69.865484253199995</v>
      </c>
      <c r="W254" s="13">
        <f t="shared" si="129"/>
        <v>68.528427005200001</v>
      </c>
      <c r="X254" s="13">
        <f t="shared" si="129"/>
        <v>90.454572738409993</v>
      </c>
      <c r="Y254" s="13">
        <f t="shared" si="129"/>
        <v>81.409406352209999</v>
      </c>
      <c r="Z254" s="13">
        <f t="shared" si="129"/>
        <v>81.409406352209999</v>
      </c>
      <c r="AA254" s="13">
        <f t="shared" si="129"/>
        <v>93.719765343209986</v>
      </c>
      <c r="AB254" s="13">
        <f t="shared" si="129"/>
        <v>93.719765343209986</v>
      </c>
      <c r="AC254" s="13">
        <f t="shared" si="129"/>
        <v>121.73615903209999</v>
      </c>
      <c r="AD254" s="13">
        <f t="shared" si="129"/>
        <v>128.90625800709998</v>
      </c>
      <c r="AE254" s="13">
        <f t="shared" si="129"/>
        <v>128.90625800709998</v>
      </c>
      <c r="AF254" s="13">
        <f t="shared" si="129"/>
        <v>121.3130995371</v>
      </c>
      <c r="AG254" s="13">
        <f t="shared" si="129"/>
        <v>112.45900464760001</v>
      </c>
      <c r="AH254" s="13">
        <f t="shared" si="129"/>
        <v>103.2834791638</v>
      </c>
    </row>
    <row r="255" spans="1:34" s="13" customFormat="1" x14ac:dyDescent="0.25">
      <c r="A255" s="13" t="s">
        <v>100</v>
      </c>
      <c r="B255" s="14">
        <f>NPV(H254,N254:AH254)</f>
        <v>1229.7816894274802</v>
      </c>
    </row>
    <row r="256" spans="1:34" s="13" customFormat="1" x14ac:dyDescent="0.25">
      <c r="A256" s="13" t="s">
        <v>104</v>
      </c>
      <c r="B256" s="23" t="s">
        <v>180</v>
      </c>
      <c r="C256" s="13">
        <v>1400</v>
      </c>
      <c r="D256" s="13">
        <v>7.85</v>
      </c>
      <c r="E256" s="13">
        <v>2019</v>
      </c>
      <c r="F256" s="13">
        <f>C256/B248</f>
        <v>0.11155378486055777</v>
      </c>
      <c r="H256" s="13">
        <v>2.9000000000000001E-2</v>
      </c>
      <c r="O256" s="13">
        <f>(C256*(D256/100))/2</f>
        <v>54.95</v>
      </c>
      <c r="P256" s="13">
        <f>C256*D256/100</f>
        <v>109.9</v>
      </c>
      <c r="Q256" s="13">
        <f>P256</f>
        <v>109.9</v>
      </c>
      <c r="R256" s="13">
        <f>O256</f>
        <v>54.95</v>
      </c>
      <c r="S256" s="13">
        <v>0</v>
      </c>
      <c r="T256" s="13">
        <f>T183*0.111554</f>
        <v>59.832768777999995</v>
      </c>
      <c r="U256" s="13">
        <f t="shared" ref="U256:AH256" si="130">U183*0.111554</f>
        <v>79.746674912399996</v>
      </c>
      <c r="V256" s="13">
        <f t="shared" si="130"/>
        <v>78.249174016400005</v>
      </c>
      <c r="W256" s="13">
        <f t="shared" si="130"/>
        <v>76.7516731204</v>
      </c>
      <c r="X256" s="13">
        <f t="shared" si="130"/>
        <v>101.30890350856998</v>
      </c>
      <c r="Y256" s="13">
        <f t="shared" si="130"/>
        <v>91.178338951170005</v>
      </c>
      <c r="Z256" s="13">
        <f t="shared" si="130"/>
        <v>91.178338951170005</v>
      </c>
      <c r="AA256" s="13">
        <f t="shared" si="130"/>
        <v>104.96591135816999</v>
      </c>
      <c r="AB256" s="13">
        <f t="shared" si="130"/>
        <v>104.96591135816999</v>
      </c>
      <c r="AC256" s="13">
        <f t="shared" si="130"/>
        <v>136.3442047817</v>
      </c>
      <c r="AD256" s="13">
        <f t="shared" si="130"/>
        <v>144.37469835669998</v>
      </c>
      <c r="AE256" s="13">
        <f t="shared" si="130"/>
        <v>144.37469835669998</v>
      </c>
      <c r="AF256" s="13">
        <f t="shared" si="130"/>
        <v>135.87037916670002</v>
      </c>
      <c r="AG256" s="13">
        <f t="shared" si="130"/>
        <v>125.95381422520001</v>
      </c>
      <c r="AH256" s="13">
        <f t="shared" si="130"/>
        <v>115.6772477926</v>
      </c>
    </row>
    <row r="257" spans="1:34" s="13" customFormat="1" x14ac:dyDescent="0.25">
      <c r="A257" s="13" t="s">
        <v>100</v>
      </c>
      <c r="B257" s="14">
        <f>NPV(H256,O256:AH256)</f>
        <v>1383.1484393214498</v>
      </c>
    </row>
    <row r="258" spans="1:34" s="13" customFormat="1" x14ac:dyDescent="0.25">
      <c r="A258" s="13" t="s">
        <v>107</v>
      </c>
      <c r="B258" s="23" t="s">
        <v>181</v>
      </c>
      <c r="C258" s="13">
        <v>1000</v>
      </c>
      <c r="D258" s="13">
        <v>6.8250000000000002</v>
      </c>
      <c r="E258" s="13">
        <v>2016</v>
      </c>
      <c r="F258" s="13">
        <f>C258/B248</f>
        <v>7.9681274900398405E-2</v>
      </c>
      <c r="H258" s="13">
        <v>1.9E-2</v>
      </c>
      <c r="M258" s="13">
        <f>C258*(D258/100)</f>
        <v>68.25</v>
      </c>
      <c r="N258" s="13">
        <f>M258</f>
        <v>68.25</v>
      </c>
      <c r="O258" s="13">
        <f t="shared" ref="O258:Q258" si="131">N258</f>
        <v>68.25</v>
      </c>
      <c r="P258" s="13">
        <f t="shared" si="131"/>
        <v>68.25</v>
      </c>
      <c r="Q258" s="13">
        <f t="shared" si="131"/>
        <v>68.25</v>
      </c>
      <c r="R258" s="13">
        <v>0</v>
      </c>
      <c r="S258" s="13">
        <v>0</v>
      </c>
      <c r="T258" s="13">
        <f>T183*0.079681</f>
        <v>42.737462117</v>
      </c>
      <c r="U258" s="13">
        <f t="shared" ref="U258:AH258" si="132">U183*0.079681</f>
        <v>56.961604278599999</v>
      </c>
      <c r="V258" s="13">
        <f t="shared" si="132"/>
        <v>55.891966534600002</v>
      </c>
      <c r="W258" s="13">
        <f t="shared" si="132"/>
        <v>54.822328790600004</v>
      </c>
      <c r="X258" s="13">
        <f t="shared" si="132"/>
        <v>72.363113294605</v>
      </c>
      <c r="Y258" s="13">
        <f t="shared" si="132"/>
        <v>65.127034673505008</v>
      </c>
      <c r="Z258" s="13">
        <f t="shared" si="132"/>
        <v>65.127034673505008</v>
      </c>
      <c r="AA258" s="13">
        <f t="shared" si="132"/>
        <v>74.975247709005004</v>
      </c>
      <c r="AB258" s="13">
        <f t="shared" si="132"/>
        <v>74.975247709005004</v>
      </c>
      <c r="AC258" s="13">
        <f t="shared" si="132"/>
        <v>97.388193890050005</v>
      </c>
      <c r="AD258" s="13">
        <f t="shared" si="132"/>
        <v>103.12422987754999</v>
      </c>
      <c r="AE258" s="13">
        <f t="shared" si="132"/>
        <v>103.12422987754999</v>
      </c>
      <c r="AF258" s="13">
        <f t="shared" si="132"/>
        <v>97.049748842550002</v>
      </c>
      <c r="AG258" s="13">
        <f t="shared" si="132"/>
        <v>89.966526267800006</v>
      </c>
      <c r="AH258" s="13">
        <f t="shared" si="132"/>
        <v>82.6261611539</v>
      </c>
    </row>
    <row r="259" spans="1:34" s="13" customFormat="1" x14ac:dyDescent="0.25">
      <c r="A259" s="13" t="s">
        <v>100</v>
      </c>
      <c r="B259" s="14">
        <f>NPV(H258,M258:AH258)</f>
        <v>1167.2687582018837</v>
      </c>
    </row>
    <row r="260" spans="1:34" s="13" customFormat="1" x14ac:dyDescent="0.25">
      <c r="A260" s="13" t="s">
        <v>109</v>
      </c>
      <c r="B260" s="23" t="s">
        <v>182</v>
      </c>
      <c r="C260" s="13">
        <v>1500</v>
      </c>
      <c r="D260" s="13">
        <v>6.85</v>
      </c>
      <c r="E260" s="13">
        <v>2015</v>
      </c>
      <c r="F260" s="13">
        <f>C260/B248</f>
        <v>0.11952191235059761</v>
      </c>
      <c r="H260" s="13">
        <v>2.7E-2</v>
      </c>
      <c r="L260" s="13">
        <f>C260*(D260/100)</f>
        <v>102.74999999999999</v>
      </c>
      <c r="M260" s="13">
        <f>L260</f>
        <v>102.74999999999999</v>
      </c>
      <c r="N260" s="13">
        <f t="shared" ref="N260:Q260" si="133">M260</f>
        <v>102.74999999999999</v>
      </c>
      <c r="O260" s="13">
        <f t="shared" si="133"/>
        <v>102.74999999999999</v>
      </c>
      <c r="P260" s="13">
        <f t="shared" si="133"/>
        <v>102.74999999999999</v>
      </c>
      <c r="Q260" s="13">
        <f t="shared" si="133"/>
        <v>102.74999999999999</v>
      </c>
      <c r="R260" s="13">
        <f>(C260*(D260/100))/2</f>
        <v>51.374999999999993</v>
      </c>
      <c r="S260" s="13">
        <v>0</v>
      </c>
      <c r="T260" s="13">
        <f>T183*0.119522</f>
        <v>64.106461354000004</v>
      </c>
      <c r="U260" s="13">
        <f t="shared" ref="U260:AH260" si="134">U183*0.119522</f>
        <v>85.442763853199992</v>
      </c>
      <c r="V260" s="13">
        <f t="shared" si="134"/>
        <v>83.838300525199998</v>
      </c>
      <c r="W260" s="13">
        <f t="shared" si="134"/>
        <v>82.233837197200003</v>
      </c>
      <c r="X260" s="13">
        <f t="shared" si="134"/>
        <v>108.54512402200999</v>
      </c>
      <c r="Y260" s="13">
        <f t="shared" si="134"/>
        <v>97.690960683810005</v>
      </c>
      <c r="Z260" s="13">
        <f t="shared" si="134"/>
        <v>97.690960683810005</v>
      </c>
      <c r="AA260" s="13">
        <f t="shared" si="134"/>
        <v>112.46334203481</v>
      </c>
      <c r="AB260" s="13">
        <f t="shared" si="134"/>
        <v>112.46334203481</v>
      </c>
      <c r="AC260" s="13">
        <f t="shared" si="134"/>
        <v>146.08290194810002</v>
      </c>
      <c r="AD260" s="13">
        <f t="shared" si="134"/>
        <v>154.68699192310001</v>
      </c>
      <c r="AE260" s="13">
        <f t="shared" si="134"/>
        <v>154.68699192310001</v>
      </c>
      <c r="AF260" s="13">
        <f t="shared" si="134"/>
        <v>145.57523225310001</v>
      </c>
      <c r="AG260" s="13">
        <f t="shared" si="134"/>
        <v>134.95035394360002</v>
      </c>
      <c r="AH260" s="13">
        <f t="shared" si="134"/>
        <v>123.93976021180001</v>
      </c>
    </row>
    <row r="261" spans="1:34" s="13" customFormat="1" x14ac:dyDescent="0.25">
      <c r="A261" s="13" t="s">
        <v>100</v>
      </c>
      <c r="B261" s="14">
        <f>NPV(H260,L260:AH260)</f>
        <v>1697.4081859675041</v>
      </c>
    </row>
    <row r="262" spans="1:34" s="13" customFormat="1" x14ac:dyDescent="0.25">
      <c r="A262" s="13" t="s">
        <v>111</v>
      </c>
      <c r="B262" s="25" t="s">
        <v>183</v>
      </c>
      <c r="C262" s="13">
        <v>650</v>
      </c>
      <c r="D262" s="13">
        <v>6.125</v>
      </c>
      <c r="E262" s="13">
        <v>2015</v>
      </c>
      <c r="F262" s="13">
        <f>C262/B248</f>
        <v>5.1792828685258967E-2</v>
      </c>
      <c r="H262" s="13">
        <v>2.7E-2</v>
      </c>
      <c r="K262" s="13">
        <f>(C262*(D262/100))/2</f>
        <v>19.90625</v>
      </c>
      <c r="L262" s="13">
        <f>C262*(D262/100)</f>
        <v>39.8125</v>
      </c>
      <c r="M262" s="13">
        <f>L262</f>
        <v>39.8125</v>
      </c>
      <c r="N262" s="13">
        <f t="shared" ref="N262:Q262" si="135">M262</f>
        <v>39.8125</v>
      </c>
      <c r="O262" s="13">
        <f t="shared" si="135"/>
        <v>39.8125</v>
      </c>
      <c r="P262" s="13">
        <f t="shared" si="135"/>
        <v>39.8125</v>
      </c>
      <c r="Q262" s="13">
        <f t="shared" si="135"/>
        <v>39.8125</v>
      </c>
      <c r="R262" s="13">
        <v>0</v>
      </c>
      <c r="S262" s="13">
        <v>0</v>
      </c>
      <c r="T262" s="13">
        <f>T183*0.051793</f>
        <v>27.779538100999996</v>
      </c>
      <c r="U262" s="13">
        <f t="shared" ref="U262:AH262" si="136">U183*0.051793</f>
        <v>37.0252929858</v>
      </c>
      <c r="V262" s="13">
        <f t="shared" si="136"/>
        <v>36.330023753799999</v>
      </c>
      <c r="W262" s="13">
        <f t="shared" si="136"/>
        <v>35.634754521799998</v>
      </c>
      <c r="X262" s="13">
        <f t="shared" si="136"/>
        <v>47.036341497564997</v>
      </c>
      <c r="Y262" s="13">
        <f t="shared" si="136"/>
        <v>42.332858609265003</v>
      </c>
      <c r="Z262" s="13">
        <f t="shared" si="136"/>
        <v>42.332858609265003</v>
      </c>
      <c r="AA262" s="13">
        <f t="shared" si="136"/>
        <v>48.734240340764998</v>
      </c>
      <c r="AB262" s="13">
        <f t="shared" si="136"/>
        <v>48.734240340764998</v>
      </c>
      <c r="AC262" s="13">
        <f t="shared" si="136"/>
        <v>63.302753807649999</v>
      </c>
      <c r="AD262" s="13">
        <f t="shared" si="136"/>
        <v>67.03120239514999</v>
      </c>
      <c r="AE262" s="13">
        <f t="shared" si="136"/>
        <v>67.03120239514999</v>
      </c>
      <c r="AF262" s="13">
        <f t="shared" si="136"/>
        <v>63.082763040149999</v>
      </c>
      <c r="AG262" s="13">
        <f t="shared" si="136"/>
        <v>58.478637253400002</v>
      </c>
      <c r="AH262" s="13">
        <f t="shared" si="136"/>
        <v>53.707367686699996</v>
      </c>
    </row>
    <row r="263" spans="1:34" s="13" customFormat="1" x14ac:dyDescent="0.25">
      <c r="A263" s="13" t="s">
        <v>100</v>
      </c>
      <c r="B263" s="14">
        <f>NPV(H262,K262:AH262)</f>
        <v>692.49450875051809</v>
      </c>
    </row>
    <row r="264" spans="1:34" s="13" customFormat="1" x14ac:dyDescent="0.25">
      <c r="A264" s="13" t="s">
        <v>113</v>
      </c>
      <c r="B264" s="23" t="s">
        <v>184</v>
      </c>
      <c r="C264" s="13">
        <v>1000</v>
      </c>
      <c r="D264" s="13">
        <v>6.85</v>
      </c>
      <c r="E264" s="13">
        <v>2019</v>
      </c>
      <c r="F264" s="13">
        <f>C264/B248</f>
        <v>7.9681274900398405E-2</v>
      </c>
      <c r="H264" s="13">
        <v>2.9000000000000001E-2</v>
      </c>
      <c r="O264" s="13">
        <f>(C264*(D264/100))/2</f>
        <v>34.249999999999993</v>
      </c>
      <c r="P264" s="13">
        <f>C264*(D264/100)</f>
        <v>68.499999999999986</v>
      </c>
      <c r="Q264" s="13">
        <f>P264</f>
        <v>68.499999999999986</v>
      </c>
      <c r="R264" s="13">
        <f>O264</f>
        <v>34.249999999999993</v>
      </c>
      <c r="S264" s="13">
        <v>0</v>
      </c>
      <c r="T264" s="13">
        <f>T183*0.079681</f>
        <v>42.737462117</v>
      </c>
      <c r="U264" s="13">
        <f t="shared" ref="U264:AH264" si="137">U183*0.079681</f>
        <v>56.961604278599999</v>
      </c>
      <c r="V264" s="13">
        <f t="shared" si="137"/>
        <v>55.891966534600002</v>
      </c>
      <c r="W264" s="13">
        <f t="shared" si="137"/>
        <v>54.822328790600004</v>
      </c>
      <c r="X264" s="13">
        <f t="shared" si="137"/>
        <v>72.363113294605</v>
      </c>
      <c r="Y264" s="13">
        <f t="shared" si="137"/>
        <v>65.127034673505008</v>
      </c>
      <c r="Z264" s="13">
        <f t="shared" si="137"/>
        <v>65.127034673505008</v>
      </c>
      <c r="AA264" s="13">
        <f t="shared" si="137"/>
        <v>74.975247709005004</v>
      </c>
      <c r="AB264" s="13">
        <f t="shared" si="137"/>
        <v>74.975247709005004</v>
      </c>
      <c r="AC264" s="13">
        <f t="shared" si="137"/>
        <v>97.388193890050005</v>
      </c>
      <c r="AD264" s="13">
        <f t="shared" si="137"/>
        <v>103.12422987754999</v>
      </c>
      <c r="AE264" s="13">
        <f t="shared" si="137"/>
        <v>103.12422987754999</v>
      </c>
      <c r="AF264" s="13">
        <f t="shared" si="137"/>
        <v>97.049748842550002</v>
      </c>
      <c r="AG264" s="13">
        <f t="shared" si="137"/>
        <v>89.966526267800006</v>
      </c>
      <c r="AH264" s="13">
        <f t="shared" si="137"/>
        <v>82.6261611539</v>
      </c>
    </row>
    <row r="265" spans="1:34" s="13" customFormat="1" x14ac:dyDescent="0.25">
      <c r="A265" s="13" t="s">
        <v>100</v>
      </c>
      <c r="B265" s="14">
        <f>NPV(H264,O264:AH264)</f>
        <v>960.01780932818792</v>
      </c>
    </row>
    <row r="266" spans="1:34" s="13" customFormat="1" x14ac:dyDescent="0.25">
      <c r="A266" s="13" t="s">
        <v>115</v>
      </c>
      <c r="B266" s="23" t="s">
        <v>185</v>
      </c>
      <c r="C266" s="13">
        <v>1000</v>
      </c>
      <c r="D266" s="13">
        <v>5.875</v>
      </c>
      <c r="E266" s="13">
        <v>2012</v>
      </c>
      <c r="F266" s="13">
        <f>C266/B248</f>
        <v>7.9681274900398405E-2</v>
      </c>
      <c r="H266" s="13">
        <v>2.8000000000000001E-2</v>
      </c>
      <c r="I266" s="13">
        <f>C266*(D266/100)</f>
        <v>58.75</v>
      </c>
      <c r="J266" s="13">
        <f>I266</f>
        <v>58.75</v>
      </c>
      <c r="K266" s="13">
        <f t="shared" ref="K266:Q266" si="138">J266</f>
        <v>58.75</v>
      </c>
      <c r="L266" s="13">
        <f t="shared" si="138"/>
        <v>58.75</v>
      </c>
      <c r="M266" s="13">
        <f t="shared" si="138"/>
        <v>58.75</v>
      </c>
      <c r="N266" s="13">
        <f t="shared" si="138"/>
        <v>58.75</v>
      </c>
      <c r="O266" s="13">
        <f t="shared" si="138"/>
        <v>58.75</v>
      </c>
      <c r="P266" s="13">
        <f t="shared" si="138"/>
        <v>58.75</v>
      </c>
      <c r="Q266" s="13">
        <f t="shared" si="138"/>
        <v>58.75</v>
      </c>
      <c r="R266" s="13">
        <v>0</v>
      </c>
      <c r="S266" s="13">
        <v>0</v>
      </c>
      <c r="T266" s="13">
        <f>T183*0.079681</f>
        <v>42.737462117</v>
      </c>
      <c r="U266" s="13">
        <f t="shared" ref="U266:AH266" si="139">U183*0.079681</f>
        <v>56.961604278599999</v>
      </c>
      <c r="V266" s="13">
        <f t="shared" si="139"/>
        <v>55.891966534600002</v>
      </c>
      <c r="W266" s="13">
        <f t="shared" si="139"/>
        <v>54.822328790600004</v>
      </c>
      <c r="X266" s="13">
        <f t="shared" si="139"/>
        <v>72.363113294605</v>
      </c>
      <c r="Y266" s="13">
        <f t="shared" si="139"/>
        <v>65.127034673505008</v>
      </c>
      <c r="Z266" s="13">
        <f t="shared" si="139"/>
        <v>65.127034673505008</v>
      </c>
      <c r="AA266" s="13">
        <f t="shared" si="139"/>
        <v>74.975247709005004</v>
      </c>
      <c r="AB266" s="13">
        <f t="shared" si="139"/>
        <v>74.975247709005004</v>
      </c>
      <c r="AC266" s="13">
        <f t="shared" si="139"/>
        <v>97.388193890050005</v>
      </c>
      <c r="AD266" s="13">
        <f t="shared" si="139"/>
        <v>103.12422987754999</v>
      </c>
      <c r="AE266" s="13">
        <f t="shared" si="139"/>
        <v>103.12422987754999</v>
      </c>
      <c r="AF266" s="13">
        <f t="shared" si="139"/>
        <v>97.049748842550002</v>
      </c>
      <c r="AG266" s="13">
        <f t="shared" si="139"/>
        <v>89.966526267800006</v>
      </c>
      <c r="AH266" s="13">
        <f t="shared" si="139"/>
        <v>82.6261611539</v>
      </c>
    </row>
    <row r="267" spans="1:34" s="13" customFormat="1" x14ac:dyDescent="0.25">
      <c r="A267" s="13" t="s">
        <v>100</v>
      </c>
      <c r="B267" s="14">
        <f>NPV(H266,I266:AH266)</f>
        <v>1121.552032282664</v>
      </c>
    </row>
    <row r="268" spans="1:34" s="13" customFormat="1" x14ac:dyDescent="0.25">
      <c r="A268" s="13" t="s">
        <v>118</v>
      </c>
      <c r="B268" s="13" t="s">
        <v>186</v>
      </c>
      <c r="C268" s="13">
        <v>1500</v>
      </c>
      <c r="D268" s="13">
        <v>6.2</v>
      </c>
      <c r="E268" s="13">
        <v>2017</v>
      </c>
      <c r="F268" s="13">
        <f>C268/B248</f>
        <v>0.11952191235059761</v>
      </c>
      <c r="H268" s="13">
        <v>2.8000000000000001E-2</v>
      </c>
      <c r="M268" s="13">
        <f>(C268*(D268/100))/2</f>
        <v>46.5</v>
      </c>
      <c r="N268" s="13">
        <f>C268*(D268/100)</f>
        <v>93</v>
      </c>
      <c r="O268" s="13">
        <f>N268</f>
        <v>93</v>
      </c>
      <c r="P268" s="13">
        <f t="shared" ref="P268:Q268" si="140">O268</f>
        <v>93</v>
      </c>
      <c r="Q268" s="13">
        <f t="shared" si="140"/>
        <v>93</v>
      </c>
      <c r="R268" s="13">
        <f>M268</f>
        <v>46.5</v>
      </c>
      <c r="S268" s="13">
        <v>0</v>
      </c>
      <c r="T268" s="13">
        <f>T183*0.119522</f>
        <v>64.106461354000004</v>
      </c>
      <c r="U268" s="13">
        <f t="shared" ref="U268:AH268" si="141">U183*0.119522</f>
        <v>85.442763853199992</v>
      </c>
      <c r="V268" s="13">
        <f t="shared" si="141"/>
        <v>83.838300525199998</v>
      </c>
      <c r="W268" s="13">
        <f t="shared" si="141"/>
        <v>82.233837197200003</v>
      </c>
      <c r="X268" s="13">
        <f t="shared" si="141"/>
        <v>108.54512402200999</v>
      </c>
      <c r="Y268" s="13">
        <f t="shared" si="141"/>
        <v>97.690960683810005</v>
      </c>
      <c r="Z268" s="13">
        <f t="shared" si="141"/>
        <v>97.690960683810005</v>
      </c>
      <c r="AA268" s="13">
        <f t="shared" si="141"/>
        <v>112.46334203481</v>
      </c>
      <c r="AB268" s="13">
        <f t="shared" si="141"/>
        <v>112.46334203481</v>
      </c>
      <c r="AC268" s="13">
        <f t="shared" si="141"/>
        <v>146.08290194810002</v>
      </c>
      <c r="AD268" s="13">
        <f t="shared" si="141"/>
        <v>154.68699192310001</v>
      </c>
      <c r="AE268" s="13">
        <f t="shared" si="141"/>
        <v>154.68699192310001</v>
      </c>
      <c r="AF268" s="13">
        <f t="shared" si="141"/>
        <v>145.57523225310001</v>
      </c>
      <c r="AG268" s="13">
        <f t="shared" si="141"/>
        <v>134.95035394360002</v>
      </c>
      <c r="AH268" s="13">
        <f t="shared" si="141"/>
        <v>123.93976021180001</v>
      </c>
    </row>
    <row r="269" spans="1:34" s="13" customFormat="1" x14ac:dyDescent="0.25">
      <c r="A269" s="13" t="s">
        <v>100</v>
      </c>
      <c r="B269" s="14">
        <f>NPV(H268,M268:AH268)</f>
        <v>1527.8530453352046</v>
      </c>
    </row>
    <row r="270" spans="1:34" s="13" customFormat="1" x14ac:dyDescent="0.25">
      <c r="A270" s="13" t="s">
        <v>120</v>
      </c>
      <c r="B270" s="13" t="s">
        <v>187</v>
      </c>
      <c r="C270" s="13">
        <v>1250</v>
      </c>
      <c r="D270" s="13">
        <v>5.75</v>
      </c>
      <c r="E270" s="13">
        <v>2018</v>
      </c>
      <c r="F270" s="13">
        <f>C270/B248</f>
        <v>9.9601593625498003E-2</v>
      </c>
      <c r="H270" s="13">
        <v>0.03</v>
      </c>
      <c r="N270" s="13">
        <f>(C270*(D270/100))/2</f>
        <v>35.9375</v>
      </c>
      <c r="O270" s="13">
        <f>C270*(D270/100)</f>
        <v>71.875</v>
      </c>
      <c r="P270" s="13">
        <f>O270</f>
        <v>71.875</v>
      </c>
      <c r="Q270" s="13">
        <f>P270</f>
        <v>71.875</v>
      </c>
      <c r="R270" s="13">
        <f>N270</f>
        <v>35.9375</v>
      </c>
      <c r="S270" s="13">
        <v>0</v>
      </c>
      <c r="T270" s="13">
        <f>T183*0.099602</f>
        <v>53.422229913999992</v>
      </c>
      <c r="U270" s="13">
        <f t="shared" ref="U270:AH270" si="142">U183*0.099602</f>
        <v>71.202541501199988</v>
      </c>
      <c r="V270" s="13">
        <f t="shared" si="142"/>
        <v>69.865484253199995</v>
      </c>
      <c r="W270" s="13">
        <f t="shared" si="142"/>
        <v>68.528427005200001</v>
      </c>
      <c r="X270" s="13">
        <f t="shared" si="142"/>
        <v>90.454572738409993</v>
      </c>
      <c r="Y270" s="13">
        <f t="shared" si="142"/>
        <v>81.409406352209999</v>
      </c>
      <c r="Z270" s="13">
        <f t="shared" si="142"/>
        <v>81.409406352209999</v>
      </c>
      <c r="AA270" s="13">
        <f t="shared" si="142"/>
        <v>93.719765343209986</v>
      </c>
      <c r="AB270" s="13">
        <f t="shared" si="142"/>
        <v>93.719765343209986</v>
      </c>
      <c r="AC270" s="13">
        <f t="shared" si="142"/>
        <v>121.73615903209999</v>
      </c>
      <c r="AD270" s="13">
        <f t="shared" si="142"/>
        <v>128.90625800709998</v>
      </c>
      <c r="AE270" s="13">
        <f t="shared" si="142"/>
        <v>128.90625800709998</v>
      </c>
      <c r="AF270" s="13">
        <f t="shared" si="142"/>
        <v>121.3130995371</v>
      </c>
      <c r="AG270" s="13">
        <f t="shared" si="142"/>
        <v>112.45900464760001</v>
      </c>
      <c r="AH270" s="13">
        <f t="shared" si="142"/>
        <v>103.2834791638</v>
      </c>
    </row>
    <row r="271" spans="1:34" s="13" customFormat="1" x14ac:dyDescent="0.25">
      <c r="A271" s="13" t="s">
        <v>100</v>
      </c>
      <c r="B271" s="14">
        <f>NPV(H270,N270:AH270)</f>
        <v>1183.9946156549979</v>
      </c>
    </row>
    <row r="272" spans="1:34" s="13" customFormat="1" x14ac:dyDescent="0.25">
      <c r="A272" s="13" t="s">
        <v>122</v>
      </c>
      <c r="B272" s="13" t="s">
        <v>188</v>
      </c>
      <c r="C272" s="13">
        <v>500</v>
      </c>
      <c r="D272" s="13">
        <v>6.35</v>
      </c>
      <c r="E272" s="13">
        <v>2019</v>
      </c>
      <c r="F272" s="13">
        <f>C272/B248</f>
        <v>3.9840637450199202E-2</v>
      </c>
      <c r="H272" s="13">
        <v>2.3E-2</v>
      </c>
      <c r="O272" s="13">
        <f>(C272*(D272/100))/2</f>
        <v>15.875</v>
      </c>
      <c r="P272" s="13">
        <f>C272*(D272/100)</f>
        <v>31.75</v>
      </c>
      <c r="Q272" s="13">
        <f>P272</f>
        <v>31.75</v>
      </c>
      <c r="R272" s="13">
        <v>0</v>
      </c>
      <c r="S272" s="13">
        <v>0</v>
      </c>
      <c r="T272" s="13">
        <f>T183*0.039841</f>
        <v>21.368999237000001</v>
      </c>
      <c r="U272" s="13">
        <f t="shared" ref="U272:AH272" si="143">U183*0.039841</f>
        <v>28.481159574599999</v>
      </c>
      <c r="V272" s="13">
        <f t="shared" si="143"/>
        <v>27.946333990599999</v>
      </c>
      <c r="W272" s="13">
        <f t="shared" si="143"/>
        <v>27.411508406600003</v>
      </c>
      <c r="X272" s="13">
        <f t="shared" si="143"/>
        <v>36.182010727405</v>
      </c>
      <c r="Y272" s="13">
        <f t="shared" si="143"/>
        <v>32.563926010305003</v>
      </c>
      <c r="Z272" s="13">
        <f t="shared" si="143"/>
        <v>32.563926010305003</v>
      </c>
      <c r="AA272" s="13">
        <f t="shared" si="143"/>
        <v>37.488094325805001</v>
      </c>
      <c r="AB272" s="13">
        <f t="shared" si="143"/>
        <v>37.488094325805001</v>
      </c>
      <c r="AC272" s="13">
        <f t="shared" si="143"/>
        <v>48.694708058050004</v>
      </c>
      <c r="AD272" s="13">
        <f t="shared" si="143"/>
        <v>51.562762045550002</v>
      </c>
      <c r="AE272" s="13">
        <f t="shared" si="143"/>
        <v>51.562762045550002</v>
      </c>
      <c r="AF272" s="13">
        <f t="shared" si="143"/>
        <v>48.525483410550002</v>
      </c>
      <c r="AG272" s="13">
        <f t="shared" si="143"/>
        <v>44.983827675800008</v>
      </c>
      <c r="AH272" s="13">
        <f t="shared" si="143"/>
        <v>41.313599057899999</v>
      </c>
    </row>
    <row r="273" spans="1:34" s="13" customFormat="1" x14ac:dyDescent="0.25">
      <c r="A273" s="13" t="s">
        <v>100</v>
      </c>
      <c r="B273" s="14">
        <f>NPV(H272,N272:AH272)</f>
        <v>491.34560877876845</v>
      </c>
    </row>
    <row r="274" spans="1:34" s="13" customFormat="1" x14ac:dyDescent="0.25"/>
    <row r="275" spans="1:34" s="13" customFormat="1" x14ac:dyDescent="0.25">
      <c r="A275" s="13" t="s">
        <v>132</v>
      </c>
      <c r="B275" s="14">
        <f>B253+B255+B257+B259+B261+B263+B265+B267+B269+B271+B273</f>
        <v>12971.70146565572</v>
      </c>
    </row>
    <row r="276" spans="1:34" s="13" customFormat="1" x14ac:dyDescent="0.25">
      <c r="A276" s="13" t="s">
        <v>133</v>
      </c>
      <c r="B276" s="13">
        <f>B248</f>
        <v>12550</v>
      </c>
    </row>
    <row r="277" spans="1:34" s="13" customFormat="1" x14ac:dyDescent="0.25">
      <c r="A277" s="13" t="s">
        <v>41</v>
      </c>
      <c r="B277" s="15">
        <f>B275-B276</f>
        <v>421.70146565572031</v>
      </c>
    </row>
    <row r="278" spans="1:34" s="13" customFormat="1" x14ac:dyDescent="0.25">
      <c r="A278" s="13" t="s">
        <v>40</v>
      </c>
      <c r="B278" s="16">
        <f>B277/B276</f>
        <v>3.3601710410814369E-2</v>
      </c>
    </row>
    <row r="279" spans="1:34" s="13" customFormat="1" x14ac:dyDescent="0.25"/>
    <row r="280" spans="1:34" s="13" customFormat="1" x14ac:dyDescent="0.25">
      <c r="A280" s="12" t="s">
        <v>191</v>
      </c>
    </row>
    <row r="281" spans="1:34" s="13" customFormat="1" x14ac:dyDescent="0.25">
      <c r="C281" s="13" t="s">
        <v>192</v>
      </c>
      <c r="D281" s="13" t="s">
        <v>136</v>
      </c>
      <c r="E281" s="13" t="s">
        <v>137</v>
      </c>
    </row>
    <row r="282" spans="1:34" s="13" customFormat="1" x14ac:dyDescent="0.25">
      <c r="A282" s="13" t="s">
        <v>98</v>
      </c>
      <c r="B282" s="23" t="s">
        <v>178</v>
      </c>
      <c r="C282" s="13">
        <v>52</v>
      </c>
      <c r="D282" s="13">
        <f>C252*(C282/100)</f>
        <v>780</v>
      </c>
      <c r="E282" s="13">
        <v>3.5000000000000003E-2</v>
      </c>
      <c r="S282" s="13">
        <f>S188</f>
        <v>0</v>
      </c>
      <c r="T282" s="13">
        <f t="shared" ref="T282:AH296" si="144">T188</f>
        <v>64.106461354000004</v>
      </c>
      <c r="U282" s="13">
        <f t="shared" si="144"/>
        <v>85.442763853199992</v>
      </c>
      <c r="V282" s="13">
        <f t="shared" si="144"/>
        <v>83.838300525199998</v>
      </c>
      <c r="W282" s="13">
        <f t="shared" si="144"/>
        <v>82.233837197200003</v>
      </c>
      <c r="X282" s="13">
        <f t="shared" si="144"/>
        <v>112.0113689942</v>
      </c>
      <c r="Y282" s="13">
        <f t="shared" si="144"/>
        <v>120.869192223</v>
      </c>
      <c r="Z282" s="13">
        <f t="shared" si="144"/>
        <v>120.869192223</v>
      </c>
      <c r="AA282" s="13">
        <f t="shared" si="144"/>
        <v>139.56840912299998</v>
      </c>
      <c r="AB282" s="13">
        <f t="shared" si="144"/>
        <v>139.56840912299998</v>
      </c>
      <c r="AC282" s="13">
        <f t="shared" si="144"/>
        <v>179.85431516000003</v>
      </c>
      <c r="AD282" s="13">
        <f t="shared" si="144"/>
        <v>163.39015965999999</v>
      </c>
      <c r="AE282" s="13">
        <f t="shared" si="144"/>
        <v>163.39015965999999</v>
      </c>
      <c r="AF282" s="13">
        <f t="shared" si="144"/>
        <v>184.27244589000003</v>
      </c>
      <c r="AG282" s="13">
        <f t="shared" si="144"/>
        <v>170.82323284</v>
      </c>
      <c r="AH282" s="13">
        <f t="shared" si="144"/>
        <v>156.88577242</v>
      </c>
    </row>
    <row r="283" spans="1:34" s="13" customFormat="1" x14ac:dyDescent="0.25">
      <c r="A283" s="13" t="s">
        <v>100</v>
      </c>
      <c r="B283" s="14">
        <f>NPV(E282,S282:AH282)</f>
        <v>1400.5402419457516</v>
      </c>
    </row>
    <row r="284" spans="1:34" s="13" customFormat="1" x14ac:dyDescent="0.25">
      <c r="A284" s="13" t="s">
        <v>101</v>
      </c>
      <c r="B284" s="24" t="s">
        <v>179</v>
      </c>
      <c r="C284" s="13">
        <v>52</v>
      </c>
      <c r="D284" s="13">
        <f>C254*(C284/100)</f>
        <v>650</v>
      </c>
      <c r="E284" s="13">
        <v>3.5000000000000003E-2</v>
      </c>
      <c r="S284" s="13">
        <f>S190</f>
        <v>0</v>
      </c>
      <c r="T284" s="13">
        <f t="shared" si="144"/>
        <v>53.422229913999992</v>
      </c>
      <c r="U284" s="13">
        <f t="shared" si="144"/>
        <v>71.202541501199988</v>
      </c>
      <c r="V284" s="13">
        <f t="shared" si="144"/>
        <v>69.865484253199995</v>
      </c>
      <c r="W284" s="13">
        <f t="shared" si="144"/>
        <v>68.528427005200001</v>
      </c>
      <c r="X284" s="13">
        <f t="shared" si="144"/>
        <v>93.343119882199986</v>
      </c>
      <c r="Y284" s="13">
        <f t="shared" si="144"/>
        <v>100.724663943</v>
      </c>
      <c r="Z284" s="13">
        <f t="shared" si="144"/>
        <v>100.724663943</v>
      </c>
      <c r="AA284" s="13">
        <f t="shared" si="144"/>
        <v>116.30739684299998</v>
      </c>
      <c r="AB284" s="13">
        <f t="shared" si="144"/>
        <v>116.30739684299998</v>
      </c>
      <c r="AC284" s="13">
        <f t="shared" si="144"/>
        <v>149.87909756000002</v>
      </c>
      <c r="AD284" s="13">
        <f t="shared" si="144"/>
        <v>136.15892205999998</v>
      </c>
      <c r="AE284" s="13">
        <f t="shared" si="144"/>
        <v>136.15892205999998</v>
      </c>
      <c r="AF284" s="13">
        <f t="shared" si="144"/>
        <v>153.56088549</v>
      </c>
      <c r="AG284" s="13">
        <f t="shared" si="144"/>
        <v>142.35317043999999</v>
      </c>
      <c r="AH284" s="13">
        <f t="shared" si="144"/>
        <v>130.73858121999999</v>
      </c>
    </row>
    <row r="285" spans="1:34" s="13" customFormat="1" x14ac:dyDescent="0.25">
      <c r="A285" s="13" t="s">
        <v>100</v>
      </c>
      <c r="B285" s="14">
        <f>NPV(E284,S284:AH284)</f>
        <v>1167.1207742363811</v>
      </c>
    </row>
    <row r="286" spans="1:34" s="13" customFormat="1" x14ac:dyDescent="0.25">
      <c r="A286" s="13" t="s">
        <v>104</v>
      </c>
      <c r="B286" s="23" t="s">
        <v>180</v>
      </c>
      <c r="C286" s="13">
        <v>52</v>
      </c>
      <c r="D286" s="13">
        <f>C256*(C286/100)</f>
        <v>728</v>
      </c>
      <c r="E286" s="13">
        <v>3.5000000000000003E-2</v>
      </c>
      <c r="S286" s="13">
        <f>S192</f>
        <v>0</v>
      </c>
      <c r="T286" s="13">
        <f t="shared" si="144"/>
        <v>59.832768777999995</v>
      </c>
      <c r="U286" s="13">
        <f t="shared" si="144"/>
        <v>79.746674912399996</v>
      </c>
      <c r="V286" s="13">
        <f t="shared" si="144"/>
        <v>78.249174016400005</v>
      </c>
      <c r="W286" s="13">
        <f t="shared" si="144"/>
        <v>76.7516731204</v>
      </c>
      <c r="X286" s="13">
        <f t="shared" si="144"/>
        <v>104.54406934939999</v>
      </c>
      <c r="Y286" s="13">
        <f t="shared" si="144"/>
        <v>112.811380911</v>
      </c>
      <c r="Z286" s="13">
        <f t="shared" si="144"/>
        <v>112.811380911</v>
      </c>
      <c r="AA286" s="13">
        <f t="shared" si="144"/>
        <v>130.26400421099999</v>
      </c>
      <c r="AB286" s="13">
        <f t="shared" si="144"/>
        <v>130.26400421099999</v>
      </c>
      <c r="AC286" s="13">
        <f t="shared" si="144"/>
        <v>167.86422812000004</v>
      </c>
      <c r="AD286" s="13">
        <f t="shared" si="144"/>
        <v>152.49766461999999</v>
      </c>
      <c r="AE286" s="13">
        <f t="shared" si="144"/>
        <v>152.49766461999999</v>
      </c>
      <c r="AF286" s="13">
        <f t="shared" si="144"/>
        <v>171.98782173000001</v>
      </c>
      <c r="AG286" s="13">
        <f t="shared" si="144"/>
        <v>159.43520788000001</v>
      </c>
      <c r="AH286" s="13">
        <f t="shared" si="144"/>
        <v>146.42689593999998</v>
      </c>
    </row>
    <row r="287" spans="1:34" s="13" customFormat="1" x14ac:dyDescent="0.25">
      <c r="A287" s="13" t="s">
        <v>100</v>
      </c>
      <c r="B287" s="14">
        <f>NPV(E286,S286:AH286)</f>
        <v>1307.1724548620034</v>
      </c>
    </row>
    <row r="288" spans="1:34" s="13" customFormat="1" x14ac:dyDescent="0.25">
      <c r="A288" s="13" t="s">
        <v>107</v>
      </c>
      <c r="B288" s="23" t="s">
        <v>181</v>
      </c>
      <c r="C288" s="13">
        <v>52</v>
      </c>
      <c r="D288" s="13">
        <f>C258*(C288/100)</f>
        <v>520</v>
      </c>
      <c r="E288" s="13">
        <v>3.5000000000000003E-2</v>
      </c>
      <c r="S288" s="13">
        <f>S194</f>
        <v>0</v>
      </c>
      <c r="T288" s="13">
        <f t="shared" si="144"/>
        <v>42.737462117</v>
      </c>
      <c r="U288" s="13">
        <f t="shared" si="144"/>
        <v>56.961604278599999</v>
      </c>
      <c r="V288" s="13">
        <f t="shared" si="144"/>
        <v>55.891966534600002</v>
      </c>
      <c r="W288" s="13">
        <f t="shared" si="144"/>
        <v>54.822328790600004</v>
      </c>
      <c r="X288" s="13">
        <f t="shared" si="144"/>
        <v>74.67393360909999</v>
      </c>
      <c r="Y288" s="13">
        <f t="shared" si="144"/>
        <v>80.579124391500002</v>
      </c>
      <c r="Z288" s="13">
        <f t="shared" si="144"/>
        <v>80.579124391500002</v>
      </c>
      <c r="AA288" s="13">
        <f t="shared" si="144"/>
        <v>93.045216841499993</v>
      </c>
      <c r="AB288" s="13">
        <f t="shared" si="144"/>
        <v>93.045216841499993</v>
      </c>
      <c r="AC288" s="13">
        <f t="shared" si="144"/>
        <v>119.90237518000002</v>
      </c>
      <c r="AD288" s="13">
        <f t="shared" si="144"/>
        <v>108.92631743</v>
      </c>
      <c r="AE288" s="13">
        <f t="shared" si="144"/>
        <v>108.92631743</v>
      </c>
      <c r="AF288" s="13">
        <f t="shared" si="144"/>
        <v>122.84778334500001</v>
      </c>
      <c r="AG288" s="13">
        <f t="shared" si="144"/>
        <v>113.88167882</v>
      </c>
      <c r="AH288" s="13">
        <f t="shared" si="144"/>
        <v>104.59007740999999</v>
      </c>
    </row>
    <row r="289" spans="1:34" s="13" customFormat="1" x14ac:dyDescent="0.25">
      <c r="A289" s="13" t="s">
        <v>100</v>
      </c>
      <c r="B289" s="14">
        <f>NPV(E288,S288:AH288)</f>
        <v>933.68958868224615</v>
      </c>
    </row>
    <row r="290" spans="1:34" s="13" customFormat="1" x14ac:dyDescent="0.25">
      <c r="A290" s="13" t="s">
        <v>109</v>
      </c>
      <c r="B290" s="23" t="s">
        <v>182</v>
      </c>
      <c r="C290" s="13">
        <v>52</v>
      </c>
      <c r="D290" s="13">
        <f>C260*(C290/100)</f>
        <v>780</v>
      </c>
      <c r="E290" s="13">
        <v>3.5000000000000003E-2</v>
      </c>
      <c r="S290" s="13">
        <f>S196</f>
        <v>0</v>
      </c>
      <c r="T290" s="13">
        <f t="shared" si="144"/>
        <v>64.106461354000004</v>
      </c>
      <c r="U290" s="13">
        <f t="shared" si="144"/>
        <v>85.442763853199992</v>
      </c>
      <c r="V290" s="13">
        <f t="shared" si="144"/>
        <v>83.838300525199998</v>
      </c>
      <c r="W290" s="13">
        <f t="shared" si="144"/>
        <v>82.233837197200003</v>
      </c>
      <c r="X290" s="13">
        <f t="shared" si="144"/>
        <v>112.0113689942</v>
      </c>
      <c r="Y290" s="13">
        <f t="shared" si="144"/>
        <v>120.869192223</v>
      </c>
      <c r="Z290" s="13">
        <f t="shared" si="144"/>
        <v>120.869192223</v>
      </c>
      <c r="AA290" s="13">
        <f t="shared" si="144"/>
        <v>139.56840912299998</v>
      </c>
      <c r="AB290" s="13">
        <f t="shared" si="144"/>
        <v>139.56840912299998</v>
      </c>
      <c r="AC290" s="13">
        <f t="shared" si="144"/>
        <v>179.85431516000003</v>
      </c>
      <c r="AD290" s="13">
        <f t="shared" si="144"/>
        <v>163.39015965999999</v>
      </c>
      <c r="AE290" s="13">
        <f t="shared" si="144"/>
        <v>163.39015965999999</v>
      </c>
      <c r="AF290" s="13">
        <f t="shared" si="144"/>
        <v>184.27244589000003</v>
      </c>
      <c r="AG290" s="13">
        <f t="shared" si="144"/>
        <v>170.82323284</v>
      </c>
      <c r="AH290" s="13">
        <f t="shared" si="144"/>
        <v>156.88577242</v>
      </c>
    </row>
    <row r="291" spans="1:34" s="13" customFormat="1" x14ac:dyDescent="0.25">
      <c r="A291" s="13" t="s">
        <v>100</v>
      </c>
      <c r="B291" s="14">
        <f>NPV(E290,S290:AH290)</f>
        <v>1400.5402419457516</v>
      </c>
    </row>
    <row r="292" spans="1:34" s="13" customFormat="1" x14ac:dyDescent="0.25">
      <c r="A292" s="13" t="s">
        <v>111</v>
      </c>
      <c r="B292" s="25" t="s">
        <v>183</v>
      </c>
      <c r="C292" s="13">
        <v>52</v>
      </c>
      <c r="D292" s="13">
        <f>C262*(C292/100)</f>
        <v>338</v>
      </c>
      <c r="E292" s="13">
        <v>3.5000000000000003E-2</v>
      </c>
      <c r="S292" s="13">
        <f>S198</f>
        <v>0</v>
      </c>
      <c r="T292" s="13">
        <f t="shared" si="144"/>
        <v>27.779538100999996</v>
      </c>
      <c r="U292" s="13">
        <f t="shared" si="144"/>
        <v>37.0252929858</v>
      </c>
      <c r="V292" s="13">
        <f t="shared" si="144"/>
        <v>36.330023753799999</v>
      </c>
      <c r="W292" s="13">
        <f t="shared" si="144"/>
        <v>35.634754521799998</v>
      </c>
      <c r="X292" s="13">
        <f t="shared" si="144"/>
        <v>48.538384852299991</v>
      </c>
      <c r="Y292" s="13">
        <f t="shared" si="144"/>
        <v>52.376784799499994</v>
      </c>
      <c r="Z292" s="13">
        <f t="shared" si="144"/>
        <v>52.376784799499994</v>
      </c>
      <c r="AA292" s="13">
        <f t="shared" si="144"/>
        <v>60.479799649499995</v>
      </c>
      <c r="AB292" s="13">
        <f t="shared" si="144"/>
        <v>60.479799649499995</v>
      </c>
      <c r="AC292" s="13">
        <f t="shared" si="144"/>
        <v>77.937070540000008</v>
      </c>
      <c r="AD292" s="13">
        <f t="shared" si="144"/>
        <v>70.802584789999997</v>
      </c>
      <c r="AE292" s="13">
        <f t="shared" si="144"/>
        <v>70.802584789999997</v>
      </c>
      <c r="AF292" s="13">
        <f t="shared" si="144"/>
        <v>79.851598785000007</v>
      </c>
      <c r="AG292" s="13">
        <f t="shared" si="144"/>
        <v>74.023591460000006</v>
      </c>
      <c r="AH292" s="13">
        <f t="shared" si="144"/>
        <v>67.984009729999997</v>
      </c>
    </row>
    <row r="293" spans="1:34" s="13" customFormat="1" x14ac:dyDescent="0.25">
      <c r="A293" s="13" t="s">
        <v>100</v>
      </c>
      <c r="B293" s="14">
        <f>NPV(E292,S292:AH292)</f>
        <v>606.9023338891277</v>
      </c>
    </row>
    <row r="294" spans="1:34" s="13" customFormat="1" x14ac:dyDescent="0.25">
      <c r="A294" s="13" t="s">
        <v>113</v>
      </c>
      <c r="B294" s="23" t="s">
        <v>184</v>
      </c>
      <c r="C294" s="13">
        <v>52</v>
      </c>
      <c r="D294" s="13">
        <f>C264*(C294/100)</f>
        <v>520</v>
      </c>
      <c r="E294" s="13">
        <v>3.5000000000000003E-2</v>
      </c>
      <c r="S294" s="13">
        <f>S200</f>
        <v>0</v>
      </c>
      <c r="T294" s="13">
        <f t="shared" si="144"/>
        <v>42.737462117</v>
      </c>
      <c r="U294" s="13">
        <f t="shared" si="144"/>
        <v>56.961604278599999</v>
      </c>
      <c r="V294" s="13">
        <f t="shared" si="144"/>
        <v>55.891966534600002</v>
      </c>
      <c r="W294" s="13">
        <f t="shared" si="144"/>
        <v>54.822328790600004</v>
      </c>
      <c r="X294" s="13">
        <f t="shared" si="144"/>
        <v>74.67393360909999</v>
      </c>
      <c r="Y294" s="13">
        <f t="shared" si="144"/>
        <v>80.579124391500002</v>
      </c>
      <c r="Z294" s="13">
        <f t="shared" si="144"/>
        <v>80.579124391500002</v>
      </c>
      <c r="AA294" s="13">
        <f t="shared" si="144"/>
        <v>93.045216841499993</v>
      </c>
      <c r="AB294" s="13">
        <f t="shared" si="144"/>
        <v>93.045216841499993</v>
      </c>
      <c r="AC294" s="13">
        <f t="shared" si="144"/>
        <v>119.90237518000002</v>
      </c>
      <c r="AD294" s="13">
        <f t="shared" si="144"/>
        <v>108.92631743</v>
      </c>
      <c r="AE294" s="13">
        <f t="shared" si="144"/>
        <v>108.92631743</v>
      </c>
      <c r="AF294" s="13">
        <f t="shared" si="144"/>
        <v>122.84778334500001</v>
      </c>
      <c r="AG294" s="13">
        <f t="shared" si="144"/>
        <v>113.88167882</v>
      </c>
      <c r="AH294" s="13">
        <f t="shared" si="144"/>
        <v>104.59007740999999</v>
      </c>
    </row>
    <row r="295" spans="1:34" s="13" customFormat="1" x14ac:dyDescent="0.25">
      <c r="A295" s="13" t="s">
        <v>100</v>
      </c>
      <c r="B295" s="14">
        <f>NPV(E294,S294:AH294)</f>
        <v>933.68958868224615</v>
      </c>
    </row>
    <row r="296" spans="1:34" s="13" customFormat="1" x14ac:dyDescent="0.25">
      <c r="A296" s="13" t="s">
        <v>115</v>
      </c>
      <c r="B296" s="23" t="s">
        <v>185</v>
      </c>
      <c r="C296" s="13">
        <v>52</v>
      </c>
      <c r="D296" s="13">
        <f>C266*(C296/100)</f>
        <v>520</v>
      </c>
      <c r="E296" s="13">
        <v>3.5000000000000003E-2</v>
      </c>
      <c r="S296" s="13">
        <f>S202</f>
        <v>0</v>
      </c>
      <c r="T296" s="13">
        <f t="shared" si="144"/>
        <v>42.737462117</v>
      </c>
      <c r="U296" s="13">
        <f t="shared" si="144"/>
        <v>56.961604278599999</v>
      </c>
      <c r="V296" s="13">
        <f t="shared" si="144"/>
        <v>55.891966534600002</v>
      </c>
      <c r="W296" s="13">
        <f t="shared" si="144"/>
        <v>54.822328790600004</v>
      </c>
      <c r="X296" s="13">
        <f t="shared" si="144"/>
        <v>74.67393360909999</v>
      </c>
      <c r="Y296" s="13">
        <f t="shared" si="144"/>
        <v>80.579124391500002</v>
      </c>
      <c r="Z296" s="13">
        <f t="shared" si="144"/>
        <v>80.579124391500002</v>
      </c>
      <c r="AA296" s="13">
        <f t="shared" si="144"/>
        <v>93.045216841499993</v>
      </c>
      <c r="AB296" s="13">
        <f t="shared" si="144"/>
        <v>93.045216841499993</v>
      </c>
      <c r="AC296" s="13">
        <f t="shared" si="144"/>
        <v>119.90237518000002</v>
      </c>
      <c r="AD296" s="13">
        <f t="shared" si="144"/>
        <v>108.92631743</v>
      </c>
      <c r="AE296" s="13">
        <f t="shared" si="144"/>
        <v>108.92631743</v>
      </c>
      <c r="AF296" s="13">
        <f t="shared" si="144"/>
        <v>122.84778334500001</v>
      </c>
      <c r="AG296" s="13">
        <f t="shared" si="144"/>
        <v>113.88167882</v>
      </c>
      <c r="AH296" s="13">
        <f t="shared" si="144"/>
        <v>104.59007740999999</v>
      </c>
    </row>
    <row r="297" spans="1:34" s="13" customFormat="1" x14ac:dyDescent="0.25">
      <c r="A297" s="13" t="s">
        <v>100</v>
      </c>
      <c r="B297" s="14">
        <f>NPV(E296,S296:AH296)</f>
        <v>933.68958868224615</v>
      </c>
    </row>
    <row r="298" spans="1:34" s="13" customFormat="1" x14ac:dyDescent="0.25">
      <c r="A298" s="13" t="s">
        <v>118</v>
      </c>
      <c r="B298" s="13" t="s">
        <v>186</v>
      </c>
      <c r="C298" s="13">
        <v>52</v>
      </c>
      <c r="D298" s="13">
        <f>C268*(C298/100)</f>
        <v>780</v>
      </c>
      <c r="E298" s="13">
        <v>3.5000000000000003E-2</v>
      </c>
      <c r="S298" s="13">
        <f>S204</f>
        <v>0</v>
      </c>
      <c r="T298" s="13">
        <f t="shared" ref="T298:AH302" si="145">T204</f>
        <v>64.106461354000004</v>
      </c>
      <c r="U298" s="13">
        <f t="shared" si="145"/>
        <v>85.442763853199992</v>
      </c>
      <c r="V298" s="13">
        <f t="shared" si="145"/>
        <v>83.838300525199998</v>
      </c>
      <c r="W298" s="13">
        <f t="shared" si="145"/>
        <v>82.233837197200003</v>
      </c>
      <c r="X298" s="13">
        <f t="shared" si="145"/>
        <v>112.0113689942</v>
      </c>
      <c r="Y298" s="13">
        <f t="shared" si="145"/>
        <v>120.869192223</v>
      </c>
      <c r="Z298" s="13">
        <f t="shared" si="145"/>
        <v>120.869192223</v>
      </c>
      <c r="AA298" s="13">
        <f t="shared" si="145"/>
        <v>139.56840912299998</v>
      </c>
      <c r="AB298" s="13">
        <f t="shared" si="145"/>
        <v>139.56840912299998</v>
      </c>
      <c r="AC298" s="13">
        <f t="shared" si="145"/>
        <v>179.85431516000003</v>
      </c>
      <c r="AD298" s="13">
        <f t="shared" si="145"/>
        <v>163.39015965999999</v>
      </c>
      <c r="AE298" s="13">
        <f t="shared" si="145"/>
        <v>163.39015965999999</v>
      </c>
      <c r="AF298" s="13">
        <f t="shared" si="145"/>
        <v>184.27244589000003</v>
      </c>
      <c r="AG298" s="13">
        <f t="shared" si="145"/>
        <v>170.82323284</v>
      </c>
      <c r="AH298" s="13">
        <f t="shared" si="145"/>
        <v>156.88577242</v>
      </c>
    </row>
    <row r="299" spans="1:34" s="13" customFormat="1" x14ac:dyDescent="0.25">
      <c r="A299" s="13" t="s">
        <v>100</v>
      </c>
      <c r="B299" s="14">
        <f>NPV(E298,S298:AH298)</f>
        <v>1400.5402419457516</v>
      </c>
    </row>
    <row r="300" spans="1:34" s="13" customFormat="1" x14ac:dyDescent="0.25">
      <c r="A300" s="13" t="s">
        <v>120</v>
      </c>
      <c r="B300" s="13" t="s">
        <v>187</v>
      </c>
      <c r="C300" s="13">
        <v>52</v>
      </c>
      <c r="D300" s="13">
        <f>C270*(C300/100)</f>
        <v>650</v>
      </c>
      <c r="E300" s="13">
        <v>3.5000000000000003E-2</v>
      </c>
      <c r="S300" s="13">
        <f>S206</f>
        <v>0</v>
      </c>
      <c r="T300" s="13">
        <f t="shared" si="145"/>
        <v>53.422229913999992</v>
      </c>
      <c r="U300" s="13">
        <f t="shared" si="145"/>
        <v>71.202541501199988</v>
      </c>
      <c r="V300" s="13">
        <f t="shared" si="145"/>
        <v>69.865484253199995</v>
      </c>
      <c r="W300" s="13">
        <f t="shared" si="145"/>
        <v>68.528427005200001</v>
      </c>
      <c r="X300" s="13">
        <f t="shared" si="145"/>
        <v>93.343119882199986</v>
      </c>
      <c r="Y300" s="13">
        <f t="shared" si="145"/>
        <v>100.724663943</v>
      </c>
      <c r="Z300" s="13">
        <f t="shared" si="145"/>
        <v>100.724663943</v>
      </c>
      <c r="AA300" s="13">
        <f t="shared" si="145"/>
        <v>116.30739684299998</v>
      </c>
      <c r="AB300" s="13">
        <f t="shared" si="145"/>
        <v>116.30739684299998</v>
      </c>
      <c r="AC300" s="13">
        <f t="shared" si="145"/>
        <v>149.87909756000002</v>
      </c>
      <c r="AD300" s="13">
        <f t="shared" si="145"/>
        <v>136.15892205999998</v>
      </c>
      <c r="AE300" s="13">
        <f t="shared" si="145"/>
        <v>136.15892205999998</v>
      </c>
      <c r="AF300" s="13">
        <f t="shared" si="145"/>
        <v>153.56088549</v>
      </c>
      <c r="AG300" s="13">
        <f t="shared" si="145"/>
        <v>142.35317043999999</v>
      </c>
      <c r="AH300" s="13">
        <f t="shared" si="145"/>
        <v>130.73858121999999</v>
      </c>
    </row>
    <row r="301" spans="1:34" s="13" customFormat="1" x14ac:dyDescent="0.25">
      <c r="A301" s="13" t="s">
        <v>100</v>
      </c>
      <c r="B301" s="14">
        <f>NPV(E300,S300:AH300)</f>
        <v>1167.1207742363811</v>
      </c>
    </row>
    <row r="302" spans="1:34" s="13" customFormat="1" x14ac:dyDescent="0.25">
      <c r="A302" s="13" t="s">
        <v>122</v>
      </c>
      <c r="B302" s="13" t="s">
        <v>188</v>
      </c>
      <c r="C302" s="13">
        <v>52</v>
      </c>
      <c r="D302" s="13">
        <f>C272*(C302/100)</f>
        <v>260</v>
      </c>
      <c r="E302" s="13">
        <v>3.5000000000000003E-2</v>
      </c>
      <c r="S302" s="13">
        <f>S208</f>
        <v>0</v>
      </c>
      <c r="T302" s="13">
        <f t="shared" si="145"/>
        <v>21.368999237000001</v>
      </c>
      <c r="U302" s="13">
        <f t="shared" si="145"/>
        <v>28.481159574599999</v>
      </c>
      <c r="V302" s="13">
        <f t="shared" si="145"/>
        <v>27.946333990599999</v>
      </c>
      <c r="W302" s="13">
        <f t="shared" si="145"/>
        <v>27.411508406600003</v>
      </c>
      <c r="X302" s="13">
        <f t="shared" si="145"/>
        <v>37.337435385100001</v>
      </c>
      <c r="Y302" s="13">
        <f t="shared" si="145"/>
        <v>40.290067831499996</v>
      </c>
      <c r="Z302" s="13">
        <f t="shared" si="145"/>
        <v>40.290067831499996</v>
      </c>
      <c r="AA302" s="13">
        <f t="shared" si="145"/>
        <v>46.523192281499995</v>
      </c>
      <c r="AB302" s="13">
        <f t="shared" si="145"/>
        <v>46.523192281499995</v>
      </c>
      <c r="AC302" s="13">
        <f t="shared" si="145"/>
        <v>59.951939980000013</v>
      </c>
      <c r="AD302" s="13">
        <f t="shared" si="145"/>
        <v>54.463842229999997</v>
      </c>
      <c r="AE302" s="13">
        <f t="shared" si="145"/>
        <v>54.463842229999997</v>
      </c>
      <c r="AF302" s="13">
        <f t="shared" si="145"/>
        <v>61.424662545000004</v>
      </c>
      <c r="AG302" s="13">
        <f t="shared" si="145"/>
        <v>56.941554020000005</v>
      </c>
      <c r="AH302" s="13">
        <f t="shared" si="145"/>
        <v>52.295695009999996</v>
      </c>
    </row>
    <row r="303" spans="1:34" s="13" customFormat="1" x14ac:dyDescent="0.25">
      <c r="A303" s="13" t="s">
        <v>100</v>
      </c>
      <c r="B303" s="14">
        <f>NPV(E302,S302:AH302)</f>
        <v>466.85065326350542</v>
      </c>
    </row>
    <row r="304" spans="1:34" s="13" customFormat="1" x14ac:dyDescent="0.25"/>
    <row r="305" spans="1:34" s="13" customFormat="1" x14ac:dyDescent="0.25">
      <c r="A305" s="13" t="s">
        <v>132</v>
      </c>
      <c r="B305" s="14">
        <f>B283+B285+B287+B289+B291+B293+B295+B297+B299+B301+B303</f>
        <v>11717.85648237139</v>
      </c>
    </row>
    <row r="306" spans="1:34" s="13" customFormat="1" x14ac:dyDescent="0.25">
      <c r="A306" s="13" t="s">
        <v>193</v>
      </c>
      <c r="B306" s="13">
        <f>SUM(D282:D302)</f>
        <v>6526</v>
      </c>
    </row>
    <row r="307" spans="1:34" s="13" customFormat="1" x14ac:dyDescent="0.25">
      <c r="A307" s="13" t="s">
        <v>41</v>
      </c>
      <c r="B307" s="15">
        <f>B305-B306</f>
        <v>5191.8564823713896</v>
      </c>
    </row>
    <row r="308" spans="1:34" s="13" customFormat="1" x14ac:dyDescent="0.25">
      <c r="A308" s="13" t="s">
        <v>40</v>
      </c>
      <c r="B308" s="16">
        <f>B307/B306</f>
        <v>0.79556489156778876</v>
      </c>
    </row>
    <row r="309" spans="1:34" s="13" customFormat="1" x14ac:dyDescent="0.25">
      <c r="B309" s="33"/>
    </row>
    <row r="310" spans="1:34" s="13" customFormat="1" x14ac:dyDescent="0.25"/>
    <row r="311" spans="1:34" s="13" customFormat="1" x14ac:dyDescent="0.25">
      <c r="A311" s="12" t="s">
        <v>194</v>
      </c>
    </row>
    <row r="312" spans="1:34" s="13" customFormat="1" x14ac:dyDescent="0.25">
      <c r="C312" s="13" t="s">
        <v>192</v>
      </c>
      <c r="D312" s="13" t="s">
        <v>136</v>
      </c>
      <c r="E312" s="13" t="s">
        <v>137</v>
      </c>
    </row>
    <row r="313" spans="1:34" s="13" customFormat="1" x14ac:dyDescent="0.25">
      <c r="A313" s="13" t="s">
        <v>98</v>
      </c>
      <c r="B313" s="23" t="s">
        <v>178</v>
      </c>
      <c r="C313" s="13">
        <v>52</v>
      </c>
      <c r="D313" s="13">
        <f>D282</f>
        <v>780</v>
      </c>
      <c r="E313" s="13">
        <v>3.5000000000000003E-2</v>
      </c>
      <c r="S313" s="13">
        <f t="shared" ref="S313:AH313" si="146">S220</f>
        <v>0</v>
      </c>
      <c r="T313" s="13">
        <f t="shared" si="146"/>
        <v>64.106461354000004</v>
      </c>
      <c r="U313" s="13">
        <f t="shared" si="146"/>
        <v>85.442763853199992</v>
      </c>
      <c r="V313" s="13">
        <f t="shared" si="146"/>
        <v>83.838300525199998</v>
      </c>
      <c r="W313" s="13">
        <f t="shared" si="146"/>
        <v>82.233837197200003</v>
      </c>
      <c r="X313" s="13">
        <f t="shared" si="146"/>
        <v>136.65682810337998</v>
      </c>
      <c r="Y313" s="13">
        <f t="shared" si="146"/>
        <v>158.72183233217999</v>
      </c>
      <c r="Z313" s="13">
        <f t="shared" si="146"/>
        <v>158.72183233217999</v>
      </c>
      <c r="AA313" s="13">
        <f t="shared" si="146"/>
        <v>178.14571111817997</v>
      </c>
      <c r="AB313" s="13">
        <f t="shared" si="146"/>
        <v>172.08361503918002</v>
      </c>
      <c r="AC313" s="13">
        <f t="shared" si="146"/>
        <v>198.86460599330002</v>
      </c>
      <c r="AD313" s="13">
        <f t="shared" si="146"/>
        <v>172.50776395579999</v>
      </c>
      <c r="AE313" s="13">
        <f t="shared" si="146"/>
        <v>172.50776395579999</v>
      </c>
      <c r="AF313" s="13">
        <f t="shared" si="146"/>
        <v>224.81238398579995</v>
      </c>
      <c r="AG313" s="13">
        <f t="shared" si="146"/>
        <v>208.40434406479997</v>
      </c>
      <c r="AH313" s="13">
        <f t="shared" si="146"/>
        <v>191.40064235240001</v>
      </c>
    </row>
    <row r="314" spans="1:34" s="13" customFormat="1" x14ac:dyDescent="0.25">
      <c r="A314" s="13" t="s">
        <v>100</v>
      </c>
      <c r="B314" s="14">
        <f>NPV(E313,S313:AH313)</f>
        <v>1622.7092139215115</v>
      </c>
    </row>
    <row r="315" spans="1:34" s="13" customFormat="1" x14ac:dyDescent="0.25">
      <c r="A315" s="13" t="s">
        <v>101</v>
      </c>
      <c r="B315" s="24" t="s">
        <v>179</v>
      </c>
      <c r="C315" s="13">
        <v>52</v>
      </c>
      <c r="D315" s="13">
        <f>D284</f>
        <v>650</v>
      </c>
      <c r="E315" s="13">
        <v>3.5000000000000003E-2</v>
      </c>
      <c r="S315" s="13">
        <f t="shared" ref="S315:AH315" si="147">S222</f>
        <v>0</v>
      </c>
      <c r="T315" s="13">
        <f t="shared" si="147"/>
        <v>53.422229913999992</v>
      </c>
      <c r="U315" s="13">
        <f t="shared" si="147"/>
        <v>71.202541501199988</v>
      </c>
      <c r="V315" s="13">
        <f t="shared" si="147"/>
        <v>69.865484253199995</v>
      </c>
      <c r="W315" s="13">
        <f t="shared" si="147"/>
        <v>68.528427005200001</v>
      </c>
      <c r="X315" s="13">
        <f t="shared" si="147"/>
        <v>113.88107120657997</v>
      </c>
      <c r="Y315" s="13">
        <f t="shared" si="147"/>
        <v>132.26863626737997</v>
      </c>
      <c r="Z315" s="13">
        <f t="shared" si="147"/>
        <v>132.26863626737997</v>
      </c>
      <c r="AA315" s="13">
        <f t="shared" si="147"/>
        <v>148.45525609337997</v>
      </c>
      <c r="AB315" s="13">
        <f t="shared" si="147"/>
        <v>143.40349245438</v>
      </c>
      <c r="AC315" s="13">
        <f t="shared" si="147"/>
        <v>165.72105960530001</v>
      </c>
      <c r="AD315" s="13">
        <f t="shared" si="147"/>
        <v>143.75695106779997</v>
      </c>
      <c r="AE315" s="13">
        <f t="shared" si="147"/>
        <v>143.75695106779997</v>
      </c>
      <c r="AF315" s="13">
        <f t="shared" si="147"/>
        <v>187.34428029779997</v>
      </c>
      <c r="AG315" s="13">
        <f t="shared" si="147"/>
        <v>173.67086793679997</v>
      </c>
      <c r="AH315" s="13">
        <f t="shared" si="147"/>
        <v>159.50106908839999</v>
      </c>
    </row>
    <row r="316" spans="1:34" s="13" customFormat="1" x14ac:dyDescent="0.25">
      <c r="A316" s="13" t="s">
        <v>100</v>
      </c>
      <c r="B316" s="14">
        <f>NPV(E315,S315:AH315)</f>
        <v>1352.2622038203037</v>
      </c>
    </row>
    <row r="317" spans="1:34" s="13" customFormat="1" x14ac:dyDescent="0.25">
      <c r="A317" s="13" t="s">
        <v>104</v>
      </c>
      <c r="B317" s="23" t="s">
        <v>180</v>
      </c>
      <c r="C317" s="13">
        <v>52</v>
      </c>
      <c r="D317" s="13">
        <f>D286</f>
        <v>728</v>
      </c>
      <c r="E317" s="13">
        <v>3.5000000000000003E-2</v>
      </c>
      <c r="S317" s="13">
        <f t="shared" ref="S317:AH317" si="148">S224</f>
        <v>0</v>
      </c>
      <c r="T317" s="13">
        <f t="shared" si="148"/>
        <v>59.832768777999995</v>
      </c>
      <c r="U317" s="13">
        <f t="shared" si="148"/>
        <v>79.746674912399996</v>
      </c>
      <c r="V317" s="13">
        <f t="shared" si="148"/>
        <v>78.249174016400005</v>
      </c>
      <c r="W317" s="13">
        <f t="shared" si="148"/>
        <v>76.7516731204</v>
      </c>
      <c r="X317" s="13">
        <f t="shared" si="148"/>
        <v>127.54652534465998</v>
      </c>
      <c r="Y317" s="13">
        <f t="shared" si="148"/>
        <v>148.14055390625998</v>
      </c>
      <c r="Z317" s="13">
        <f t="shared" si="148"/>
        <v>148.14055390625998</v>
      </c>
      <c r="AA317" s="13">
        <f t="shared" si="148"/>
        <v>166.26952910825997</v>
      </c>
      <c r="AB317" s="13">
        <f t="shared" si="148"/>
        <v>160.61156600526002</v>
      </c>
      <c r="AC317" s="13">
        <f t="shared" si="148"/>
        <v>185.6071874381</v>
      </c>
      <c r="AD317" s="13">
        <f t="shared" si="148"/>
        <v>161.0074388006</v>
      </c>
      <c r="AE317" s="13">
        <f t="shared" si="148"/>
        <v>161.0074388006</v>
      </c>
      <c r="AF317" s="13">
        <f t="shared" si="148"/>
        <v>209.82514251059996</v>
      </c>
      <c r="AG317" s="13">
        <f t="shared" si="148"/>
        <v>194.51095361359998</v>
      </c>
      <c r="AH317" s="13">
        <f t="shared" si="148"/>
        <v>178.64081304679999</v>
      </c>
    </row>
    <row r="318" spans="1:34" s="13" customFormat="1" x14ac:dyDescent="0.25">
      <c r="A318" s="13" t="s">
        <v>100</v>
      </c>
      <c r="B318" s="14">
        <f>NPV(E317,S317:AH317)</f>
        <v>1514.5304098810284</v>
      </c>
    </row>
    <row r="319" spans="1:34" s="13" customFormat="1" x14ac:dyDescent="0.25">
      <c r="A319" s="13" t="s">
        <v>107</v>
      </c>
      <c r="B319" s="23" t="s">
        <v>181</v>
      </c>
      <c r="C319" s="13">
        <v>52</v>
      </c>
      <c r="D319" s="13">
        <f>D288</f>
        <v>520</v>
      </c>
      <c r="E319" s="13">
        <v>3.5000000000000003E-2</v>
      </c>
      <c r="S319" s="13">
        <f t="shared" ref="S319:AH319" si="149">S226</f>
        <v>0</v>
      </c>
      <c r="T319" s="13">
        <f t="shared" si="149"/>
        <v>42.737462117</v>
      </c>
      <c r="U319" s="13">
        <f t="shared" si="149"/>
        <v>56.961604278599999</v>
      </c>
      <c r="V319" s="13">
        <f t="shared" si="149"/>
        <v>55.891966534600002</v>
      </c>
      <c r="W319" s="13">
        <f t="shared" si="149"/>
        <v>54.822328790600004</v>
      </c>
      <c r="X319" s="13">
        <f t="shared" si="149"/>
        <v>91.104170948489994</v>
      </c>
      <c r="Y319" s="13">
        <f t="shared" si="149"/>
        <v>105.81411223088999</v>
      </c>
      <c r="Z319" s="13">
        <f t="shared" si="149"/>
        <v>105.81411223088999</v>
      </c>
      <c r="AA319" s="13">
        <f t="shared" si="149"/>
        <v>118.76331058388999</v>
      </c>
      <c r="AB319" s="13">
        <f t="shared" si="149"/>
        <v>114.72193010439001</v>
      </c>
      <c r="AC319" s="13">
        <f t="shared" si="149"/>
        <v>132.57584938465001</v>
      </c>
      <c r="AD319" s="13">
        <f t="shared" si="149"/>
        <v>115.00469486589999</v>
      </c>
      <c r="AE319" s="13">
        <f t="shared" si="149"/>
        <v>115.00469486589999</v>
      </c>
      <c r="AF319" s="13">
        <f t="shared" si="149"/>
        <v>149.87429568089996</v>
      </c>
      <c r="AG319" s="13">
        <f t="shared" si="149"/>
        <v>138.93564816039998</v>
      </c>
      <c r="AH319" s="13">
        <f t="shared" si="149"/>
        <v>127.5998944402</v>
      </c>
    </row>
    <row r="320" spans="1:34" s="13" customFormat="1" x14ac:dyDescent="0.25">
      <c r="A320" s="13" t="s">
        <v>100</v>
      </c>
      <c r="B320" s="14">
        <f>NPV(E319,S319:AH319)</f>
        <v>1081.801617061963</v>
      </c>
    </row>
    <row r="321" spans="1:34" s="13" customFormat="1" x14ac:dyDescent="0.25">
      <c r="A321" s="13" t="s">
        <v>109</v>
      </c>
      <c r="B321" s="23" t="s">
        <v>182</v>
      </c>
      <c r="C321" s="13">
        <v>52</v>
      </c>
      <c r="D321" s="13">
        <f>D290</f>
        <v>780</v>
      </c>
      <c r="E321" s="13">
        <v>3.5000000000000003E-2</v>
      </c>
      <c r="S321" s="13">
        <f t="shared" ref="S321:AH321" si="150">S228</f>
        <v>0</v>
      </c>
      <c r="T321" s="13">
        <f t="shared" si="150"/>
        <v>64.106461354000004</v>
      </c>
      <c r="U321" s="13">
        <f t="shared" si="150"/>
        <v>85.442763853199992</v>
      </c>
      <c r="V321" s="13">
        <f t="shared" si="150"/>
        <v>83.838300525199998</v>
      </c>
      <c r="W321" s="13">
        <f t="shared" si="150"/>
        <v>82.233837197200003</v>
      </c>
      <c r="X321" s="13">
        <f t="shared" si="150"/>
        <v>136.65682810337998</v>
      </c>
      <c r="Y321" s="13">
        <f t="shared" si="150"/>
        <v>158.72183233217999</v>
      </c>
      <c r="Z321" s="13">
        <f t="shared" si="150"/>
        <v>158.72183233217999</v>
      </c>
      <c r="AA321" s="13">
        <f t="shared" si="150"/>
        <v>178.14571111817997</v>
      </c>
      <c r="AB321" s="13">
        <f t="shared" si="150"/>
        <v>172.08361503918002</v>
      </c>
      <c r="AC321" s="13">
        <f t="shared" si="150"/>
        <v>198.86460599330002</v>
      </c>
      <c r="AD321" s="13">
        <f t="shared" si="150"/>
        <v>172.50776395579999</v>
      </c>
      <c r="AE321" s="13">
        <f t="shared" si="150"/>
        <v>172.50776395579999</v>
      </c>
      <c r="AF321" s="13">
        <f t="shared" si="150"/>
        <v>224.81238398579995</v>
      </c>
      <c r="AG321" s="13">
        <f t="shared" si="150"/>
        <v>208.40434406479997</v>
      </c>
      <c r="AH321" s="13">
        <f t="shared" si="150"/>
        <v>191.40064235240001</v>
      </c>
    </row>
    <row r="322" spans="1:34" s="13" customFormat="1" x14ac:dyDescent="0.25">
      <c r="A322" s="13" t="s">
        <v>100</v>
      </c>
      <c r="B322" s="14">
        <f>NPV(E321,S321:AH321)</f>
        <v>1622.7092139215115</v>
      </c>
    </row>
    <row r="323" spans="1:34" s="13" customFormat="1" x14ac:dyDescent="0.25">
      <c r="A323" s="13" t="s">
        <v>111</v>
      </c>
      <c r="B323" s="25" t="s">
        <v>183</v>
      </c>
      <c r="C323" s="13">
        <v>52</v>
      </c>
      <c r="D323" s="13">
        <f>D292</f>
        <v>338</v>
      </c>
      <c r="E323" s="13">
        <v>3.5000000000000003E-2</v>
      </c>
      <c r="S323" s="13">
        <f t="shared" ref="S323:AH323" si="151">S230</f>
        <v>0</v>
      </c>
      <c r="T323" s="13">
        <f t="shared" si="151"/>
        <v>27.779538100999996</v>
      </c>
      <c r="U323" s="13">
        <f t="shared" si="151"/>
        <v>37.0252929858</v>
      </c>
      <c r="V323" s="13">
        <f t="shared" si="151"/>
        <v>36.330023753799999</v>
      </c>
      <c r="W323" s="13">
        <f t="shared" si="151"/>
        <v>35.634754521799998</v>
      </c>
      <c r="X323" s="13">
        <f t="shared" si="151"/>
        <v>59.218111292969986</v>
      </c>
      <c r="Y323" s="13">
        <f t="shared" si="151"/>
        <v>68.779637740169989</v>
      </c>
      <c r="Z323" s="13">
        <f t="shared" si="151"/>
        <v>68.779637740169989</v>
      </c>
      <c r="AA323" s="13">
        <f t="shared" si="151"/>
        <v>77.196673549169986</v>
      </c>
      <c r="AB323" s="13">
        <f t="shared" si="151"/>
        <v>74.569758485670008</v>
      </c>
      <c r="AC323" s="13">
        <f t="shared" si="151"/>
        <v>86.174884441450004</v>
      </c>
      <c r="AD323" s="13">
        <f t="shared" si="151"/>
        <v>74.753556822699991</v>
      </c>
      <c r="AE323" s="13">
        <f t="shared" si="151"/>
        <v>74.753556822699991</v>
      </c>
      <c r="AF323" s="13">
        <f t="shared" si="151"/>
        <v>97.418950517699983</v>
      </c>
      <c r="AG323" s="13">
        <f t="shared" si="151"/>
        <v>90.308781581199995</v>
      </c>
      <c r="AH323" s="13">
        <f t="shared" si="151"/>
        <v>82.940491870599999</v>
      </c>
    </row>
    <row r="324" spans="1:34" s="13" customFormat="1" x14ac:dyDescent="0.25">
      <c r="A324" s="13" t="s">
        <v>100</v>
      </c>
      <c r="B324" s="14">
        <f>NPV(E323,S323:AH323)</f>
        <v>703.17580292027287</v>
      </c>
    </row>
    <row r="325" spans="1:34" s="13" customFormat="1" x14ac:dyDescent="0.25">
      <c r="A325" s="13" t="s">
        <v>113</v>
      </c>
      <c r="B325" s="23" t="s">
        <v>184</v>
      </c>
      <c r="C325" s="13">
        <v>52</v>
      </c>
      <c r="D325" s="13">
        <f>D294</f>
        <v>520</v>
      </c>
      <c r="E325" s="13">
        <v>3.5000000000000003E-2</v>
      </c>
      <c r="S325" s="13">
        <f t="shared" ref="S325:AH325" si="152">S232</f>
        <v>0</v>
      </c>
      <c r="T325" s="13">
        <f t="shared" si="152"/>
        <v>42.737462117</v>
      </c>
      <c r="U325" s="13">
        <f t="shared" si="152"/>
        <v>56.961604278599999</v>
      </c>
      <c r="V325" s="13">
        <f t="shared" si="152"/>
        <v>55.891966534600002</v>
      </c>
      <c r="W325" s="13">
        <f t="shared" si="152"/>
        <v>54.822328790600004</v>
      </c>
      <c r="X325" s="13">
        <f t="shared" si="152"/>
        <v>91.104170948489994</v>
      </c>
      <c r="Y325" s="13">
        <f t="shared" si="152"/>
        <v>105.81411223088999</v>
      </c>
      <c r="Z325" s="13">
        <f t="shared" si="152"/>
        <v>105.81411223088999</v>
      </c>
      <c r="AA325" s="13">
        <f t="shared" si="152"/>
        <v>118.76331058388999</v>
      </c>
      <c r="AB325" s="13">
        <f t="shared" si="152"/>
        <v>114.72193010439001</v>
      </c>
      <c r="AC325" s="13">
        <f t="shared" si="152"/>
        <v>132.57584938465001</v>
      </c>
      <c r="AD325" s="13">
        <f t="shared" si="152"/>
        <v>115.00469486589999</v>
      </c>
      <c r="AE325" s="13">
        <f t="shared" si="152"/>
        <v>115.00469486589999</v>
      </c>
      <c r="AF325" s="13">
        <f t="shared" si="152"/>
        <v>149.87429568089996</v>
      </c>
      <c r="AG325" s="13">
        <f t="shared" si="152"/>
        <v>138.93564816039998</v>
      </c>
      <c r="AH325" s="13">
        <f t="shared" si="152"/>
        <v>127.5998944402</v>
      </c>
    </row>
    <row r="326" spans="1:34" s="13" customFormat="1" x14ac:dyDescent="0.25">
      <c r="A326" s="13" t="s">
        <v>100</v>
      </c>
      <c r="B326" s="14">
        <f>NPV(E325,S325:AH325)</f>
        <v>1081.801617061963</v>
      </c>
    </row>
    <row r="327" spans="1:34" s="13" customFormat="1" x14ac:dyDescent="0.25">
      <c r="A327" s="13" t="s">
        <v>115</v>
      </c>
      <c r="B327" s="23" t="s">
        <v>185</v>
      </c>
      <c r="C327" s="13">
        <v>52</v>
      </c>
      <c r="D327" s="13">
        <f>D296</f>
        <v>520</v>
      </c>
      <c r="E327" s="13">
        <v>3.5000000000000003E-2</v>
      </c>
      <c r="S327" s="13">
        <f t="shared" ref="S327:AH327" si="153">S234</f>
        <v>0</v>
      </c>
      <c r="T327" s="13">
        <f t="shared" si="153"/>
        <v>42.737462117</v>
      </c>
      <c r="U327" s="13">
        <f t="shared" si="153"/>
        <v>56.961604278599999</v>
      </c>
      <c r="V327" s="13">
        <f t="shared" si="153"/>
        <v>55.891966534600002</v>
      </c>
      <c r="W327" s="13">
        <f t="shared" si="153"/>
        <v>54.822328790600004</v>
      </c>
      <c r="X327" s="13">
        <f t="shared" si="153"/>
        <v>91.104170948489994</v>
      </c>
      <c r="Y327" s="13">
        <f t="shared" si="153"/>
        <v>105.81411223088999</v>
      </c>
      <c r="Z327" s="13">
        <f t="shared" si="153"/>
        <v>105.81411223088999</v>
      </c>
      <c r="AA327" s="13">
        <f t="shared" si="153"/>
        <v>118.76331058388999</v>
      </c>
      <c r="AB327" s="13">
        <f t="shared" si="153"/>
        <v>114.72193010439001</v>
      </c>
      <c r="AC327" s="13">
        <f t="shared" si="153"/>
        <v>132.57584938465001</v>
      </c>
      <c r="AD327" s="13">
        <f t="shared" si="153"/>
        <v>115.00469486589999</v>
      </c>
      <c r="AE327" s="13">
        <f t="shared" si="153"/>
        <v>115.00469486589999</v>
      </c>
      <c r="AF327" s="13">
        <f t="shared" si="153"/>
        <v>149.87429568089996</v>
      </c>
      <c r="AG327" s="13">
        <f t="shared" si="153"/>
        <v>138.93564816039998</v>
      </c>
      <c r="AH327" s="13">
        <f t="shared" si="153"/>
        <v>127.5998944402</v>
      </c>
    </row>
    <row r="328" spans="1:34" s="13" customFormat="1" x14ac:dyDescent="0.25">
      <c r="A328" s="13" t="s">
        <v>100</v>
      </c>
      <c r="B328" s="14">
        <f>NPV(E327,S327:AH327)</f>
        <v>1081.801617061963</v>
      </c>
    </row>
    <row r="329" spans="1:34" s="13" customFormat="1" x14ac:dyDescent="0.25">
      <c r="A329" s="13" t="s">
        <v>118</v>
      </c>
      <c r="B329" s="13" t="s">
        <v>186</v>
      </c>
      <c r="C329" s="13">
        <v>52</v>
      </c>
      <c r="D329" s="13">
        <f>D298</f>
        <v>780</v>
      </c>
      <c r="E329" s="13">
        <v>3.5000000000000003E-2</v>
      </c>
      <c r="S329" s="13">
        <f t="shared" ref="S329:AH329" si="154">S236</f>
        <v>0</v>
      </c>
      <c r="T329" s="13">
        <f t="shared" si="154"/>
        <v>64.106461354000004</v>
      </c>
      <c r="U329" s="13">
        <f t="shared" si="154"/>
        <v>85.442763853199992</v>
      </c>
      <c r="V329" s="13">
        <f t="shared" si="154"/>
        <v>83.838300525199998</v>
      </c>
      <c r="W329" s="13">
        <f t="shared" si="154"/>
        <v>82.233837197200003</v>
      </c>
      <c r="X329" s="13">
        <f t="shared" si="154"/>
        <v>136.65682810337998</v>
      </c>
      <c r="Y329" s="13">
        <f t="shared" si="154"/>
        <v>158.72183233217999</v>
      </c>
      <c r="Z329" s="13">
        <f t="shared" si="154"/>
        <v>158.72183233217999</v>
      </c>
      <c r="AA329" s="13">
        <f t="shared" si="154"/>
        <v>178.14571111817997</v>
      </c>
      <c r="AB329" s="13">
        <f t="shared" si="154"/>
        <v>172.08361503918002</v>
      </c>
      <c r="AC329" s="13">
        <f t="shared" si="154"/>
        <v>198.86460599330002</v>
      </c>
      <c r="AD329" s="13">
        <f t="shared" si="154"/>
        <v>172.50776395579999</v>
      </c>
      <c r="AE329" s="13">
        <f t="shared" si="154"/>
        <v>172.50776395579999</v>
      </c>
      <c r="AF329" s="13">
        <f t="shared" si="154"/>
        <v>224.81238398579995</v>
      </c>
      <c r="AG329" s="13">
        <f t="shared" si="154"/>
        <v>208.40434406479997</v>
      </c>
      <c r="AH329" s="13">
        <f t="shared" si="154"/>
        <v>191.40064235240001</v>
      </c>
    </row>
    <row r="330" spans="1:34" s="13" customFormat="1" x14ac:dyDescent="0.25">
      <c r="A330" s="13" t="s">
        <v>100</v>
      </c>
      <c r="B330" s="14">
        <f>NPV(E329,S329:AH329)</f>
        <v>1622.7092139215115</v>
      </c>
    </row>
    <row r="331" spans="1:34" s="13" customFormat="1" x14ac:dyDescent="0.25">
      <c r="A331" s="13" t="s">
        <v>120</v>
      </c>
      <c r="B331" s="13" t="s">
        <v>187</v>
      </c>
      <c r="C331" s="13">
        <v>52</v>
      </c>
      <c r="D331" s="13">
        <f>D300</f>
        <v>650</v>
      </c>
      <c r="E331" s="13">
        <v>3.5000000000000003E-2</v>
      </c>
      <c r="S331" s="13">
        <f t="shared" ref="S331:AH331" si="155">S238</f>
        <v>0</v>
      </c>
      <c r="T331" s="13">
        <f t="shared" si="155"/>
        <v>53.422229913999992</v>
      </c>
      <c r="U331" s="13">
        <f t="shared" si="155"/>
        <v>71.202541501199988</v>
      </c>
      <c r="V331" s="13">
        <f t="shared" si="155"/>
        <v>69.865484253199995</v>
      </c>
      <c r="W331" s="13">
        <f t="shared" si="155"/>
        <v>68.528427005200001</v>
      </c>
      <c r="X331" s="13">
        <f t="shared" si="155"/>
        <v>113.88107120657997</v>
      </c>
      <c r="Y331" s="13">
        <f t="shared" si="155"/>
        <v>132.26863626737997</v>
      </c>
      <c r="Z331" s="13">
        <f t="shared" si="155"/>
        <v>132.26863626737997</v>
      </c>
      <c r="AA331" s="13">
        <f t="shared" si="155"/>
        <v>148.45525609337997</v>
      </c>
      <c r="AB331" s="13">
        <f t="shared" si="155"/>
        <v>143.40349245438</v>
      </c>
      <c r="AC331" s="13">
        <f t="shared" si="155"/>
        <v>165.72105960530001</v>
      </c>
      <c r="AD331" s="13">
        <f t="shared" si="155"/>
        <v>143.75695106779997</v>
      </c>
      <c r="AE331" s="13">
        <f t="shared" si="155"/>
        <v>143.75695106779997</v>
      </c>
      <c r="AF331" s="13">
        <f t="shared" si="155"/>
        <v>187.34428029779997</v>
      </c>
      <c r="AG331" s="13">
        <f t="shared" si="155"/>
        <v>173.67086793679997</v>
      </c>
      <c r="AH331" s="13">
        <f t="shared" si="155"/>
        <v>159.50106908839999</v>
      </c>
    </row>
    <row r="332" spans="1:34" s="13" customFormat="1" x14ac:dyDescent="0.25">
      <c r="A332" s="13" t="s">
        <v>100</v>
      </c>
      <c r="B332" s="14">
        <f>NPV(E331,S331:AH331)</f>
        <v>1352.2622038203037</v>
      </c>
    </row>
    <row r="333" spans="1:34" s="13" customFormat="1" x14ac:dyDescent="0.25">
      <c r="A333" s="13" t="s">
        <v>122</v>
      </c>
      <c r="B333" s="13" t="s">
        <v>188</v>
      </c>
      <c r="C333" s="13">
        <v>52</v>
      </c>
      <c r="D333" s="13">
        <f>D302</f>
        <v>260</v>
      </c>
      <c r="E333" s="13">
        <v>3.5000000000000003E-2</v>
      </c>
      <c r="S333" s="13">
        <f t="shared" ref="S333:AH333" si="156">S240</f>
        <v>0</v>
      </c>
      <c r="T333" s="13">
        <f t="shared" si="156"/>
        <v>21.368999237000001</v>
      </c>
      <c r="U333" s="13">
        <f t="shared" si="156"/>
        <v>28.481159574599999</v>
      </c>
      <c r="V333" s="13">
        <f t="shared" si="156"/>
        <v>27.946333990599999</v>
      </c>
      <c r="W333" s="13">
        <f t="shared" si="156"/>
        <v>27.411508406600003</v>
      </c>
      <c r="X333" s="13">
        <f t="shared" si="156"/>
        <v>45.552657154889992</v>
      </c>
      <c r="Y333" s="13">
        <f t="shared" si="156"/>
        <v>52.907720101289996</v>
      </c>
      <c r="Z333" s="13">
        <f t="shared" si="156"/>
        <v>52.907720101289996</v>
      </c>
      <c r="AA333" s="13">
        <f t="shared" si="156"/>
        <v>59.382400534289992</v>
      </c>
      <c r="AB333" s="13">
        <f t="shared" si="156"/>
        <v>57.361684934790006</v>
      </c>
      <c r="AC333" s="13">
        <f t="shared" si="156"/>
        <v>66.288756608650004</v>
      </c>
      <c r="AD333" s="13">
        <f t="shared" si="156"/>
        <v>57.503069089899995</v>
      </c>
      <c r="AE333" s="13">
        <f t="shared" si="156"/>
        <v>57.503069089899995</v>
      </c>
      <c r="AF333" s="13">
        <f t="shared" si="156"/>
        <v>74.938088304899992</v>
      </c>
      <c r="AG333" s="13">
        <f t="shared" si="156"/>
        <v>69.468695904399993</v>
      </c>
      <c r="AH333" s="13">
        <f t="shared" si="156"/>
        <v>63.800747912200002</v>
      </c>
    </row>
    <row r="334" spans="1:34" s="13" customFormat="1" x14ac:dyDescent="0.25">
      <c r="A334" s="13" t="s">
        <v>100</v>
      </c>
      <c r="B334" s="14">
        <f>NPV(E333,S333:AH333)</f>
        <v>540.90759685954822</v>
      </c>
    </row>
    <row r="335" spans="1:34" s="13" customFormat="1" x14ac:dyDescent="0.25"/>
    <row r="336" spans="1:34" s="13" customFormat="1" x14ac:dyDescent="0.25">
      <c r="A336" s="13" t="s">
        <v>132</v>
      </c>
      <c r="B336" s="14">
        <f>B314+B316+B318+B320+B322+B324+B326+B328+B330+B332+B334</f>
        <v>13576.670710251881</v>
      </c>
    </row>
    <row r="337" spans="1:34" s="13" customFormat="1" x14ac:dyDescent="0.25">
      <c r="A337" s="13" t="s">
        <v>193</v>
      </c>
      <c r="B337" s="13">
        <f>SUM(D313:D333)</f>
        <v>6526</v>
      </c>
    </row>
    <row r="338" spans="1:34" s="13" customFormat="1" x14ac:dyDescent="0.25">
      <c r="A338" s="13" t="s">
        <v>41</v>
      </c>
      <c r="B338" s="15">
        <f>B336-B337</f>
        <v>7050.6707102518812</v>
      </c>
    </row>
    <row r="339" spans="1:34" s="13" customFormat="1" x14ac:dyDescent="0.25">
      <c r="A339" s="13" t="s">
        <v>40</v>
      </c>
      <c r="B339" s="16">
        <f>B338/B337</f>
        <v>1.0803969828764759</v>
      </c>
    </row>
    <row r="340" spans="1:34" s="13" customFormat="1" x14ac:dyDescent="0.25">
      <c r="B340" s="33"/>
    </row>
    <row r="341" spans="1:34" s="13" customFormat="1" x14ac:dyDescent="0.25"/>
    <row r="342" spans="1:34" s="13" customFormat="1" x14ac:dyDescent="0.25"/>
    <row r="343" spans="1:34" s="13" customFormat="1" x14ac:dyDescent="0.25">
      <c r="A343" s="12" t="s">
        <v>195</v>
      </c>
    </row>
    <row r="344" spans="1:34" s="13" customFormat="1" x14ac:dyDescent="0.25">
      <c r="C344" s="13" t="s">
        <v>192</v>
      </c>
      <c r="D344" s="13" t="s">
        <v>136</v>
      </c>
      <c r="E344" s="13" t="s">
        <v>137</v>
      </c>
    </row>
    <row r="345" spans="1:34" s="13" customFormat="1" x14ac:dyDescent="0.25">
      <c r="A345" s="13" t="s">
        <v>98</v>
      </c>
      <c r="B345" s="23" t="s">
        <v>178</v>
      </c>
      <c r="C345" s="13">
        <v>52</v>
      </c>
      <c r="D345" s="13">
        <f>D313</f>
        <v>780</v>
      </c>
      <c r="E345" s="13">
        <v>3.5000000000000003E-2</v>
      </c>
      <c r="S345" s="13">
        <f t="shared" ref="S345:AH345" si="157">S252</f>
        <v>0</v>
      </c>
      <c r="T345" s="13">
        <f t="shared" si="157"/>
        <v>64.106461354000004</v>
      </c>
      <c r="U345" s="13">
        <f t="shared" si="157"/>
        <v>85.442763853199992</v>
      </c>
      <c r="V345" s="13">
        <f t="shared" si="157"/>
        <v>83.838300525199998</v>
      </c>
      <c r="W345" s="13">
        <f t="shared" si="157"/>
        <v>82.233837197200003</v>
      </c>
      <c r="X345" s="13">
        <f t="shared" si="157"/>
        <v>108.54512402200999</v>
      </c>
      <c r="Y345" s="13">
        <f t="shared" si="157"/>
        <v>97.690960683810005</v>
      </c>
      <c r="Z345" s="13">
        <f t="shared" si="157"/>
        <v>97.690960683810005</v>
      </c>
      <c r="AA345" s="13">
        <f t="shared" si="157"/>
        <v>112.46334203481</v>
      </c>
      <c r="AB345" s="13">
        <f t="shared" si="157"/>
        <v>112.46334203481</v>
      </c>
      <c r="AC345" s="13">
        <f t="shared" si="157"/>
        <v>146.08290194810002</v>
      </c>
      <c r="AD345" s="13">
        <f t="shared" si="157"/>
        <v>154.68699192310001</v>
      </c>
      <c r="AE345" s="13">
        <f t="shared" si="157"/>
        <v>154.68699192310001</v>
      </c>
      <c r="AF345" s="13">
        <f t="shared" si="157"/>
        <v>145.57523225310001</v>
      </c>
      <c r="AG345" s="13">
        <f t="shared" si="157"/>
        <v>134.95035394360002</v>
      </c>
      <c r="AH345" s="13">
        <f t="shared" si="157"/>
        <v>123.93976021180001</v>
      </c>
    </row>
    <row r="346" spans="1:34" s="13" customFormat="1" x14ac:dyDescent="0.25">
      <c r="A346" s="13" t="s">
        <v>100</v>
      </c>
      <c r="B346" s="14">
        <f>NPV(E345,S345:AH345)</f>
        <v>1224.0228166632444</v>
      </c>
    </row>
    <row r="347" spans="1:34" s="13" customFormat="1" x14ac:dyDescent="0.25">
      <c r="A347" s="13" t="s">
        <v>101</v>
      </c>
      <c r="B347" s="24" t="s">
        <v>179</v>
      </c>
      <c r="C347" s="13">
        <v>52</v>
      </c>
      <c r="D347" s="13">
        <f t="shared" ref="D347:D365" si="158">D315</f>
        <v>650</v>
      </c>
      <c r="E347" s="13">
        <v>3.5000000000000003E-2</v>
      </c>
      <c r="S347" s="13">
        <f>S254</f>
        <v>0</v>
      </c>
      <c r="T347" s="13">
        <f t="shared" ref="T347:AH347" si="159">T254</f>
        <v>53.422229913999992</v>
      </c>
      <c r="U347" s="13">
        <f t="shared" si="159"/>
        <v>71.202541501199988</v>
      </c>
      <c r="V347" s="13">
        <f t="shared" si="159"/>
        <v>69.865484253199995</v>
      </c>
      <c r="W347" s="13">
        <f t="shared" si="159"/>
        <v>68.528427005200001</v>
      </c>
      <c r="X347" s="13">
        <f t="shared" si="159"/>
        <v>90.454572738409993</v>
      </c>
      <c r="Y347" s="13">
        <f t="shared" si="159"/>
        <v>81.409406352209999</v>
      </c>
      <c r="Z347" s="13">
        <f t="shared" si="159"/>
        <v>81.409406352209999</v>
      </c>
      <c r="AA347" s="13">
        <f t="shared" si="159"/>
        <v>93.719765343209986</v>
      </c>
      <c r="AB347" s="13">
        <f t="shared" si="159"/>
        <v>93.719765343209986</v>
      </c>
      <c r="AC347" s="13">
        <f t="shared" si="159"/>
        <v>121.73615903209999</v>
      </c>
      <c r="AD347" s="13">
        <f t="shared" si="159"/>
        <v>128.90625800709998</v>
      </c>
      <c r="AE347" s="13">
        <f t="shared" si="159"/>
        <v>128.90625800709998</v>
      </c>
      <c r="AF347" s="13">
        <f t="shared" si="159"/>
        <v>121.3130995371</v>
      </c>
      <c r="AG347" s="13">
        <f t="shared" si="159"/>
        <v>112.45900464760001</v>
      </c>
      <c r="AH347" s="13">
        <f t="shared" si="159"/>
        <v>103.2834791638</v>
      </c>
    </row>
    <row r="348" spans="1:34" s="13" customFormat="1" x14ac:dyDescent="0.25">
      <c r="A348" s="13" t="s">
        <v>100</v>
      </c>
      <c r="B348" s="14">
        <f>NPV(E347,S347:AH347)</f>
        <v>1020.0224275471668</v>
      </c>
    </row>
    <row r="349" spans="1:34" s="13" customFormat="1" x14ac:dyDescent="0.25">
      <c r="A349" s="13" t="s">
        <v>104</v>
      </c>
      <c r="B349" s="23" t="s">
        <v>180</v>
      </c>
      <c r="C349" s="13">
        <v>52</v>
      </c>
      <c r="D349" s="13">
        <f t="shared" si="158"/>
        <v>728</v>
      </c>
      <c r="E349" s="13">
        <v>3.5000000000000003E-2</v>
      </c>
      <c r="S349" s="13">
        <f>S256</f>
        <v>0</v>
      </c>
      <c r="T349" s="13">
        <f t="shared" ref="T349:AH349" si="160">T256</f>
        <v>59.832768777999995</v>
      </c>
      <c r="U349" s="13">
        <f t="shared" si="160"/>
        <v>79.746674912399996</v>
      </c>
      <c r="V349" s="13">
        <f t="shared" si="160"/>
        <v>78.249174016400005</v>
      </c>
      <c r="W349" s="13">
        <f t="shared" si="160"/>
        <v>76.7516731204</v>
      </c>
      <c r="X349" s="13">
        <f t="shared" si="160"/>
        <v>101.30890350856998</v>
      </c>
      <c r="Y349" s="13">
        <f t="shared" si="160"/>
        <v>91.178338951170005</v>
      </c>
      <c r="Z349" s="13">
        <f t="shared" si="160"/>
        <v>91.178338951170005</v>
      </c>
      <c r="AA349" s="13">
        <f t="shared" si="160"/>
        <v>104.96591135816999</v>
      </c>
      <c r="AB349" s="13">
        <f t="shared" si="160"/>
        <v>104.96591135816999</v>
      </c>
      <c r="AC349" s="13">
        <f t="shared" si="160"/>
        <v>136.3442047817</v>
      </c>
      <c r="AD349" s="13">
        <f t="shared" si="160"/>
        <v>144.37469835669998</v>
      </c>
      <c r="AE349" s="13">
        <f t="shared" si="160"/>
        <v>144.37469835669998</v>
      </c>
      <c r="AF349" s="13">
        <f t="shared" si="160"/>
        <v>135.87037916670002</v>
      </c>
      <c r="AG349" s="13">
        <f t="shared" si="160"/>
        <v>125.95381422520001</v>
      </c>
      <c r="AH349" s="13">
        <f t="shared" si="160"/>
        <v>115.6772477926</v>
      </c>
    </row>
    <row r="350" spans="1:34" s="13" customFormat="1" x14ac:dyDescent="0.25">
      <c r="A350" s="13" t="s">
        <v>100</v>
      </c>
      <c r="B350" s="14">
        <f>NPV(E349,S349:AH349)</f>
        <v>1142.4226610168132</v>
      </c>
    </row>
    <row r="351" spans="1:34" s="13" customFormat="1" x14ac:dyDescent="0.25">
      <c r="A351" s="13" t="s">
        <v>107</v>
      </c>
      <c r="B351" s="23" t="s">
        <v>181</v>
      </c>
      <c r="C351" s="13">
        <v>52</v>
      </c>
      <c r="D351" s="13">
        <f t="shared" si="158"/>
        <v>520</v>
      </c>
      <c r="E351" s="13">
        <v>3.5000000000000003E-2</v>
      </c>
      <c r="S351" s="13">
        <f>S258</f>
        <v>0</v>
      </c>
      <c r="T351" s="13">
        <f t="shared" ref="T351:AH351" si="161">T258</f>
        <v>42.737462117</v>
      </c>
      <c r="U351" s="13">
        <f t="shared" si="161"/>
        <v>56.961604278599999</v>
      </c>
      <c r="V351" s="13">
        <f t="shared" si="161"/>
        <v>55.891966534600002</v>
      </c>
      <c r="W351" s="13">
        <f t="shared" si="161"/>
        <v>54.822328790600004</v>
      </c>
      <c r="X351" s="13">
        <f t="shared" si="161"/>
        <v>72.363113294605</v>
      </c>
      <c r="Y351" s="13">
        <f t="shared" si="161"/>
        <v>65.127034673505008</v>
      </c>
      <c r="Z351" s="13">
        <f t="shared" si="161"/>
        <v>65.127034673505008</v>
      </c>
      <c r="AA351" s="13">
        <f t="shared" si="161"/>
        <v>74.975247709005004</v>
      </c>
      <c r="AB351" s="13">
        <f t="shared" si="161"/>
        <v>74.975247709005004</v>
      </c>
      <c r="AC351" s="13">
        <f t="shared" si="161"/>
        <v>97.388193890050005</v>
      </c>
      <c r="AD351" s="13">
        <f t="shared" si="161"/>
        <v>103.12422987754999</v>
      </c>
      <c r="AE351" s="13">
        <f t="shared" si="161"/>
        <v>103.12422987754999</v>
      </c>
      <c r="AF351" s="13">
        <f t="shared" si="161"/>
        <v>97.049748842550002</v>
      </c>
      <c r="AG351" s="13">
        <f t="shared" si="161"/>
        <v>89.966526267800006</v>
      </c>
      <c r="AH351" s="13">
        <f t="shared" si="161"/>
        <v>82.6261611539</v>
      </c>
    </row>
    <row r="352" spans="1:34" s="13" customFormat="1" x14ac:dyDescent="0.25">
      <c r="A352" s="13" t="s">
        <v>100</v>
      </c>
      <c r="B352" s="14">
        <f>NPV(E351,S351:AH351)</f>
        <v>816.01179744769991</v>
      </c>
    </row>
    <row r="353" spans="1:34" s="13" customFormat="1" x14ac:dyDescent="0.25">
      <c r="A353" s="13" t="s">
        <v>109</v>
      </c>
      <c r="B353" s="23" t="s">
        <v>182</v>
      </c>
      <c r="C353" s="13">
        <v>52</v>
      </c>
      <c r="D353" s="13">
        <f t="shared" si="158"/>
        <v>780</v>
      </c>
      <c r="E353" s="13">
        <v>3.5000000000000003E-2</v>
      </c>
      <c r="S353" s="13">
        <f>S260</f>
        <v>0</v>
      </c>
      <c r="T353" s="13">
        <f t="shared" ref="T353:AH353" si="162">T260</f>
        <v>64.106461354000004</v>
      </c>
      <c r="U353" s="13">
        <f t="shared" si="162"/>
        <v>85.442763853199992</v>
      </c>
      <c r="V353" s="13">
        <f t="shared" si="162"/>
        <v>83.838300525199998</v>
      </c>
      <c r="W353" s="13">
        <f t="shared" si="162"/>
        <v>82.233837197200003</v>
      </c>
      <c r="X353" s="13">
        <f t="shared" si="162"/>
        <v>108.54512402200999</v>
      </c>
      <c r="Y353" s="13">
        <f t="shared" si="162"/>
        <v>97.690960683810005</v>
      </c>
      <c r="Z353" s="13">
        <f t="shared" si="162"/>
        <v>97.690960683810005</v>
      </c>
      <c r="AA353" s="13">
        <f t="shared" si="162"/>
        <v>112.46334203481</v>
      </c>
      <c r="AB353" s="13">
        <f t="shared" si="162"/>
        <v>112.46334203481</v>
      </c>
      <c r="AC353" s="13">
        <f t="shared" si="162"/>
        <v>146.08290194810002</v>
      </c>
      <c r="AD353" s="13">
        <f t="shared" si="162"/>
        <v>154.68699192310001</v>
      </c>
      <c r="AE353" s="13">
        <f t="shared" si="162"/>
        <v>154.68699192310001</v>
      </c>
      <c r="AF353" s="13">
        <f t="shared" si="162"/>
        <v>145.57523225310001</v>
      </c>
      <c r="AG353" s="13">
        <f t="shared" si="162"/>
        <v>134.95035394360002</v>
      </c>
      <c r="AH353" s="13">
        <f t="shared" si="162"/>
        <v>123.93976021180001</v>
      </c>
    </row>
    <row r="354" spans="1:34" s="13" customFormat="1" x14ac:dyDescent="0.25">
      <c r="A354" s="13" t="s">
        <v>100</v>
      </c>
      <c r="B354" s="14">
        <f>NPV(E353,S353:AH353)</f>
        <v>1224.0228166632444</v>
      </c>
    </row>
    <row r="355" spans="1:34" s="13" customFormat="1" x14ac:dyDescent="0.25">
      <c r="A355" s="13" t="s">
        <v>111</v>
      </c>
      <c r="B355" s="25" t="s">
        <v>183</v>
      </c>
      <c r="C355" s="13">
        <v>52</v>
      </c>
      <c r="D355" s="13">
        <f t="shared" si="158"/>
        <v>338</v>
      </c>
      <c r="E355" s="13">
        <v>3.5000000000000003E-2</v>
      </c>
      <c r="S355" s="13">
        <f>S262</f>
        <v>0</v>
      </c>
      <c r="T355" s="13">
        <f t="shared" ref="T355:AH355" si="163">T262</f>
        <v>27.779538100999996</v>
      </c>
      <c r="U355" s="13">
        <f t="shared" si="163"/>
        <v>37.0252929858</v>
      </c>
      <c r="V355" s="13">
        <f t="shared" si="163"/>
        <v>36.330023753799999</v>
      </c>
      <c r="W355" s="13">
        <f t="shared" si="163"/>
        <v>35.634754521799998</v>
      </c>
      <c r="X355" s="13">
        <f t="shared" si="163"/>
        <v>47.036341497564997</v>
      </c>
      <c r="Y355" s="13">
        <f t="shared" si="163"/>
        <v>42.332858609265003</v>
      </c>
      <c r="Z355" s="13">
        <f t="shared" si="163"/>
        <v>42.332858609265003</v>
      </c>
      <c r="AA355" s="13">
        <f t="shared" si="163"/>
        <v>48.734240340764998</v>
      </c>
      <c r="AB355" s="13">
        <f t="shared" si="163"/>
        <v>48.734240340764998</v>
      </c>
      <c r="AC355" s="13">
        <f t="shared" si="163"/>
        <v>63.302753807649999</v>
      </c>
      <c r="AD355" s="13">
        <f t="shared" si="163"/>
        <v>67.03120239514999</v>
      </c>
      <c r="AE355" s="13">
        <f t="shared" si="163"/>
        <v>67.03120239514999</v>
      </c>
      <c r="AF355" s="13">
        <f t="shared" si="163"/>
        <v>63.082763040149999</v>
      </c>
      <c r="AG355" s="13">
        <f t="shared" si="163"/>
        <v>58.478637253400002</v>
      </c>
      <c r="AH355" s="13">
        <f t="shared" si="163"/>
        <v>53.707367686699996</v>
      </c>
    </row>
    <row r="356" spans="1:34" s="13" customFormat="1" x14ac:dyDescent="0.25">
      <c r="A356" s="13" t="s">
        <v>100</v>
      </c>
      <c r="B356" s="14">
        <f>NPV(E355,S355:AH355)</f>
        <v>530.41125268519113</v>
      </c>
    </row>
    <row r="357" spans="1:34" s="13" customFormat="1" x14ac:dyDescent="0.25">
      <c r="A357" s="13" t="s">
        <v>113</v>
      </c>
      <c r="B357" s="23" t="s">
        <v>184</v>
      </c>
      <c r="C357" s="13">
        <v>52</v>
      </c>
      <c r="D357" s="13">
        <f t="shared" si="158"/>
        <v>520</v>
      </c>
      <c r="E357" s="13">
        <v>3.5000000000000003E-2</v>
      </c>
      <c r="S357" s="13">
        <f>S264</f>
        <v>0</v>
      </c>
      <c r="T357" s="13">
        <f t="shared" ref="T357:AH357" si="164">T264</f>
        <v>42.737462117</v>
      </c>
      <c r="U357" s="13">
        <f t="shared" si="164"/>
        <v>56.961604278599999</v>
      </c>
      <c r="V357" s="13">
        <f t="shared" si="164"/>
        <v>55.891966534600002</v>
      </c>
      <c r="W357" s="13">
        <f t="shared" si="164"/>
        <v>54.822328790600004</v>
      </c>
      <c r="X357" s="13">
        <f t="shared" si="164"/>
        <v>72.363113294605</v>
      </c>
      <c r="Y357" s="13">
        <f t="shared" si="164"/>
        <v>65.127034673505008</v>
      </c>
      <c r="Z357" s="13">
        <f t="shared" si="164"/>
        <v>65.127034673505008</v>
      </c>
      <c r="AA357" s="13">
        <f t="shared" si="164"/>
        <v>74.975247709005004</v>
      </c>
      <c r="AB357" s="13">
        <f t="shared" si="164"/>
        <v>74.975247709005004</v>
      </c>
      <c r="AC357" s="13">
        <f t="shared" si="164"/>
        <v>97.388193890050005</v>
      </c>
      <c r="AD357" s="13">
        <f t="shared" si="164"/>
        <v>103.12422987754999</v>
      </c>
      <c r="AE357" s="13">
        <f t="shared" si="164"/>
        <v>103.12422987754999</v>
      </c>
      <c r="AF357" s="13">
        <f t="shared" si="164"/>
        <v>97.049748842550002</v>
      </c>
      <c r="AG357" s="13">
        <f t="shared" si="164"/>
        <v>89.966526267800006</v>
      </c>
      <c r="AH357" s="13">
        <f t="shared" si="164"/>
        <v>82.6261611539</v>
      </c>
    </row>
    <row r="358" spans="1:34" s="13" customFormat="1" x14ac:dyDescent="0.25">
      <c r="A358" s="13" t="s">
        <v>100</v>
      </c>
      <c r="B358" s="14">
        <f>NPV(E357,S357:AH357)</f>
        <v>816.01179744769991</v>
      </c>
    </row>
    <row r="359" spans="1:34" s="13" customFormat="1" x14ac:dyDescent="0.25">
      <c r="A359" s="13" t="s">
        <v>115</v>
      </c>
      <c r="B359" s="23" t="s">
        <v>185</v>
      </c>
      <c r="C359" s="13">
        <v>52</v>
      </c>
      <c r="D359" s="13">
        <f t="shared" si="158"/>
        <v>520</v>
      </c>
      <c r="E359" s="13">
        <v>3.5000000000000003E-2</v>
      </c>
      <c r="S359" s="13">
        <f>S266</f>
        <v>0</v>
      </c>
      <c r="T359" s="13">
        <f t="shared" ref="T359:AH359" si="165">T266</f>
        <v>42.737462117</v>
      </c>
      <c r="U359" s="13">
        <f t="shared" si="165"/>
        <v>56.961604278599999</v>
      </c>
      <c r="V359" s="13">
        <f t="shared" si="165"/>
        <v>55.891966534600002</v>
      </c>
      <c r="W359" s="13">
        <f t="shared" si="165"/>
        <v>54.822328790600004</v>
      </c>
      <c r="X359" s="13">
        <f t="shared" si="165"/>
        <v>72.363113294605</v>
      </c>
      <c r="Y359" s="13">
        <f t="shared" si="165"/>
        <v>65.127034673505008</v>
      </c>
      <c r="Z359" s="13">
        <f t="shared" si="165"/>
        <v>65.127034673505008</v>
      </c>
      <c r="AA359" s="13">
        <f t="shared" si="165"/>
        <v>74.975247709005004</v>
      </c>
      <c r="AB359" s="13">
        <f t="shared" si="165"/>
        <v>74.975247709005004</v>
      </c>
      <c r="AC359" s="13">
        <f t="shared" si="165"/>
        <v>97.388193890050005</v>
      </c>
      <c r="AD359" s="13">
        <f t="shared" si="165"/>
        <v>103.12422987754999</v>
      </c>
      <c r="AE359" s="13">
        <f t="shared" si="165"/>
        <v>103.12422987754999</v>
      </c>
      <c r="AF359" s="13">
        <f t="shared" si="165"/>
        <v>97.049748842550002</v>
      </c>
      <c r="AG359" s="13">
        <f t="shared" si="165"/>
        <v>89.966526267800006</v>
      </c>
      <c r="AH359" s="13">
        <f t="shared" si="165"/>
        <v>82.6261611539</v>
      </c>
    </row>
    <row r="360" spans="1:34" s="13" customFormat="1" x14ac:dyDescent="0.25">
      <c r="A360" s="13" t="s">
        <v>100</v>
      </c>
      <c r="B360" s="14">
        <f>NPV(E359,S359:AH359)</f>
        <v>816.01179744769991</v>
      </c>
    </row>
    <row r="361" spans="1:34" s="13" customFormat="1" x14ac:dyDescent="0.25">
      <c r="A361" s="13" t="s">
        <v>118</v>
      </c>
      <c r="B361" s="13" t="s">
        <v>186</v>
      </c>
      <c r="C361" s="13">
        <v>52</v>
      </c>
      <c r="D361" s="13">
        <f t="shared" si="158"/>
        <v>780</v>
      </c>
      <c r="E361" s="13">
        <v>3.5000000000000003E-2</v>
      </c>
      <c r="S361" s="13">
        <f>S268</f>
        <v>0</v>
      </c>
      <c r="T361" s="13">
        <f t="shared" ref="T361:AH361" si="166">T268</f>
        <v>64.106461354000004</v>
      </c>
      <c r="U361" s="13">
        <f t="shared" si="166"/>
        <v>85.442763853199992</v>
      </c>
      <c r="V361" s="13">
        <f t="shared" si="166"/>
        <v>83.838300525199998</v>
      </c>
      <c r="W361" s="13">
        <f t="shared" si="166"/>
        <v>82.233837197200003</v>
      </c>
      <c r="X361" s="13">
        <f t="shared" si="166"/>
        <v>108.54512402200999</v>
      </c>
      <c r="Y361" s="13">
        <f t="shared" si="166"/>
        <v>97.690960683810005</v>
      </c>
      <c r="Z361" s="13">
        <f t="shared" si="166"/>
        <v>97.690960683810005</v>
      </c>
      <c r="AA361" s="13">
        <f t="shared" si="166"/>
        <v>112.46334203481</v>
      </c>
      <c r="AB361" s="13">
        <f t="shared" si="166"/>
        <v>112.46334203481</v>
      </c>
      <c r="AC361" s="13">
        <f t="shared" si="166"/>
        <v>146.08290194810002</v>
      </c>
      <c r="AD361" s="13">
        <f t="shared" si="166"/>
        <v>154.68699192310001</v>
      </c>
      <c r="AE361" s="13">
        <f t="shared" si="166"/>
        <v>154.68699192310001</v>
      </c>
      <c r="AF361" s="13">
        <f t="shared" si="166"/>
        <v>145.57523225310001</v>
      </c>
      <c r="AG361" s="13">
        <f t="shared" si="166"/>
        <v>134.95035394360002</v>
      </c>
      <c r="AH361" s="13">
        <f t="shared" si="166"/>
        <v>123.93976021180001</v>
      </c>
    </row>
    <row r="362" spans="1:34" s="13" customFormat="1" x14ac:dyDescent="0.25">
      <c r="A362" s="13" t="s">
        <v>100</v>
      </c>
      <c r="B362" s="14">
        <f>NPV(E361,S361:AH361)</f>
        <v>1224.0228166632444</v>
      </c>
    </row>
    <row r="363" spans="1:34" s="13" customFormat="1" x14ac:dyDescent="0.25">
      <c r="A363" s="13" t="s">
        <v>120</v>
      </c>
      <c r="B363" s="13" t="s">
        <v>187</v>
      </c>
      <c r="C363" s="13">
        <v>52</v>
      </c>
      <c r="D363" s="13">
        <f t="shared" si="158"/>
        <v>650</v>
      </c>
      <c r="E363" s="13">
        <v>3.5000000000000003E-2</v>
      </c>
      <c r="S363" s="13">
        <f>S270</f>
        <v>0</v>
      </c>
      <c r="T363" s="13">
        <f t="shared" ref="T363:AH363" si="167">T270</f>
        <v>53.422229913999992</v>
      </c>
      <c r="U363" s="13">
        <f t="shared" si="167"/>
        <v>71.202541501199988</v>
      </c>
      <c r="V363" s="13">
        <f t="shared" si="167"/>
        <v>69.865484253199995</v>
      </c>
      <c r="W363" s="13">
        <f t="shared" si="167"/>
        <v>68.528427005200001</v>
      </c>
      <c r="X363" s="13">
        <f t="shared" si="167"/>
        <v>90.454572738409993</v>
      </c>
      <c r="Y363" s="13">
        <f t="shared" si="167"/>
        <v>81.409406352209999</v>
      </c>
      <c r="Z363" s="13">
        <f t="shared" si="167"/>
        <v>81.409406352209999</v>
      </c>
      <c r="AA363" s="13">
        <f t="shared" si="167"/>
        <v>93.719765343209986</v>
      </c>
      <c r="AB363" s="13">
        <f t="shared" si="167"/>
        <v>93.719765343209986</v>
      </c>
      <c r="AC363" s="13">
        <f t="shared" si="167"/>
        <v>121.73615903209999</v>
      </c>
      <c r="AD363" s="13">
        <f t="shared" si="167"/>
        <v>128.90625800709998</v>
      </c>
      <c r="AE363" s="13">
        <f t="shared" si="167"/>
        <v>128.90625800709998</v>
      </c>
      <c r="AF363" s="13">
        <f t="shared" si="167"/>
        <v>121.3130995371</v>
      </c>
      <c r="AG363" s="13">
        <f t="shared" si="167"/>
        <v>112.45900464760001</v>
      </c>
      <c r="AH363" s="13">
        <f t="shared" si="167"/>
        <v>103.2834791638</v>
      </c>
    </row>
    <row r="364" spans="1:34" s="13" customFormat="1" x14ac:dyDescent="0.25">
      <c r="A364" s="13" t="s">
        <v>100</v>
      </c>
      <c r="B364" s="14">
        <f>NPV(E363,S363:AH363)</f>
        <v>1020.0224275471668</v>
      </c>
    </row>
    <row r="365" spans="1:34" s="13" customFormat="1" x14ac:dyDescent="0.25">
      <c r="A365" s="13" t="s">
        <v>122</v>
      </c>
      <c r="B365" s="13" t="s">
        <v>188</v>
      </c>
      <c r="C365" s="13">
        <v>52</v>
      </c>
      <c r="D365" s="13">
        <f t="shared" si="158"/>
        <v>260</v>
      </c>
      <c r="E365" s="13">
        <v>3.5000000000000003E-2</v>
      </c>
      <c r="S365" s="13">
        <f>S272</f>
        <v>0</v>
      </c>
      <c r="T365" s="13">
        <f t="shared" ref="T365:AH365" si="168">T272</f>
        <v>21.368999237000001</v>
      </c>
      <c r="U365" s="13">
        <f t="shared" si="168"/>
        <v>28.481159574599999</v>
      </c>
      <c r="V365" s="13">
        <f t="shared" si="168"/>
        <v>27.946333990599999</v>
      </c>
      <c r="W365" s="13">
        <f t="shared" si="168"/>
        <v>27.411508406600003</v>
      </c>
      <c r="X365" s="13">
        <f t="shared" si="168"/>
        <v>36.182010727405</v>
      </c>
      <c r="Y365" s="13">
        <f t="shared" si="168"/>
        <v>32.563926010305003</v>
      </c>
      <c r="Z365" s="13">
        <f t="shared" si="168"/>
        <v>32.563926010305003</v>
      </c>
      <c r="AA365" s="13">
        <f t="shared" si="168"/>
        <v>37.488094325805001</v>
      </c>
      <c r="AB365" s="13">
        <f t="shared" si="168"/>
        <v>37.488094325805001</v>
      </c>
      <c r="AC365" s="13">
        <f t="shared" si="168"/>
        <v>48.694708058050004</v>
      </c>
      <c r="AD365" s="13">
        <f t="shared" si="168"/>
        <v>51.562762045550002</v>
      </c>
      <c r="AE365" s="13">
        <f t="shared" si="168"/>
        <v>51.562762045550002</v>
      </c>
      <c r="AF365" s="13">
        <f t="shared" si="168"/>
        <v>48.525483410550002</v>
      </c>
      <c r="AG365" s="13">
        <f t="shared" si="168"/>
        <v>44.983827675800008</v>
      </c>
      <c r="AH365" s="13">
        <f t="shared" si="168"/>
        <v>41.313599057899999</v>
      </c>
    </row>
    <row r="366" spans="1:34" s="13" customFormat="1" x14ac:dyDescent="0.25">
      <c r="A366" s="13" t="s">
        <v>100</v>
      </c>
      <c r="B366" s="14">
        <f>NPV(E365,S365:AH365)</f>
        <v>408.01101921554459</v>
      </c>
    </row>
    <row r="367" spans="1:34" s="13" customFormat="1" x14ac:dyDescent="0.25"/>
    <row r="368" spans="1:34" s="13" customFormat="1" x14ac:dyDescent="0.25">
      <c r="A368" s="13" t="s">
        <v>132</v>
      </c>
      <c r="B368" s="14">
        <f>B346+B348+B350+B352+B354+B356+B358+B360+B362+B364+B366</f>
        <v>10240.993630344714</v>
      </c>
    </row>
    <row r="369" spans="1:8" s="13" customFormat="1" x14ac:dyDescent="0.25">
      <c r="A369" s="13" t="s">
        <v>193</v>
      </c>
      <c r="B369" s="13">
        <f>SUM(D345:D365)</f>
        <v>6526</v>
      </c>
    </row>
    <row r="370" spans="1:8" s="13" customFormat="1" x14ac:dyDescent="0.25">
      <c r="A370" s="13" t="s">
        <v>41</v>
      </c>
      <c r="B370" s="15">
        <f>B368-B369</f>
        <v>3714.9936303447139</v>
      </c>
    </row>
    <row r="371" spans="1:8" s="13" customFormat="1" x14ac:dyDescent="0.25">
      <c r="A371" s="13" t="s">
        <v>40</v>
      </c>
      <c r="B371" s="16">
        <f>B370/B369</f>
        <v>0.56926043983216579</v>
      </c>
    </row>
    <row r="372" spans="1:8" s="13" customFormat="1" x14ac:dyDescent="0.25"/>
    <row r="373" spans="1:8" s="13" customFormat="1" x14ac:dyDescent="0.25">
      <c r="A373" s="13" t="s">
        <v>153</v>
      </c>
      <c r="B373" s="27">
        <f>(B213+B245+B277+B307+B338+B370)/6</f>
        <v>3625.7621541502008</v>
      </c>
    </row>
    <row r="374" spans="1:8" s="13" customFormat="1" x14ac:dyDescent="0.25">
      <c r="A374" s="13" t="s">
        <v>155</v>
      </c>
      <c r="B374" s="27">
        <f>(B212/2)+(B306/2)</f>
        <v>9538</v>
      </c>
    </row>
    <row r="375" spans="1:8" s="13" customFormat="1" x14ac:dyDescent="0.25">
      <c r="A375" s="13" t="s">
        <v>154</v>
      </c>
      <c r="B375" s="16">
        <f>B373/B374</f>
        <v>0.38013861964250373</v>
      </c>
    </row>
    <row r="377" spans="1:8" s="18" customFormat="1" x14ac:dyDescent="0.25">
      <c r="A377" s="17" t="s">
        <v>46</v>
      </c>
    </row>
    <row r="378" spans="1:8" s="18" customFormat="1" x14ac:dyDescent="0.25"/>
    <row r="379" spans="1:8" s="18" customFormat="1" x14ac:dyDescent="0.25">
      <c r="A379" s="17"/>
      <c r="B379" s="18" t="s">
        <v>198</v>
      </c>
    </row>
    <row r="380" spans="1:8" s="18" customFormat="1" x14ac:dyDescent="0.25">
      <c r="B380" s="18">
        <v>37487</v>
      </c>
      <c r="C380" s="18" t="s">
        <v>197</v>
      </c>
    </row>
    <row r="381" spans="1:8" s="18" customFormat="1" x14ac:dyDescent="0.25"/>
    <row r="382" spans="1:8" s="18" customFormat="1" x14ac:dyDescent="0.25">
      <c r="A382" s="18" t="s">
        <v>47</v>
      </c>
      <c r="B382" s="18" t="s">
        <v>140</v>
      </c>
      <c r="D382" s="18" t="s">
        <v>209</v>
      </c>
      <c r="E382" s="18" t="s">
        <v>141</v>
      </c>
      <c r="F382" s="18" t="s">
        <v>150</v>
      </c>
      <c r="G382" s="18" t="s">
        <v>151</v>
      </c>
      <c r="H382" s="18" t="s">
        <v>152</v>
      </c>
    </row>
    <row r="383" spans="1:8" s="18" customFormat="1" x14ac:dyDescent="0.25">
      <c r="A383" s="18" t="s">
        <v>142</v>
      </c>
      <c r="B383" s="26">
        <f>F411</f>
        <v>13317.060267613639</v>
      </c>
      <c r="C383" s="26"/>
      <c r="D383" s="20">
        <f>B383/B388</f>
        <v>0.35524475865269661</v>
      </c>
      <c r="E383" s="19">
        <f>B61</f>
        <v>10225.756211142381</v>
      </c>
      <c r="G383" s="26">
        <f>B383-E383</f>
        <v>3091.3040564712574</v>
      </c>
      <c r="H383" s="18">
        <f>G383/B383</f>
        <v>0.23213111560282862</v>
      </c>
    </row>
    <row r="384" spans="1:8" s="18" customFormat="1" x14ac:dyDescent="0.25">
      <c r="A384" s="18" t="s">
        <v>143</v>
      </c>
      <c r="B384" s="26">
        <f>F422</f>
        <v>3405.309973125381</v>
      </c>
      <c r="D384" s="20">
        <f>B384/B388</f>
        <v>9.0839757065792975E-2</v>
      </c>
      <c r="E384" s="26">
        <f>B384</f>
        <v>3405.309973125381</v>
      </c>
      <c r="F384" s="18">
        <f>E384*H384</f>
        <v>2614.8315700903481</v>
      </c>
      <c r="H384" s="18">
        <f>1-H383</f>
        <v>0.76786888439717138</v>
      </c>
    </row>
    <row r="385" spans="1:13" s="18" customFormat="1" x14ac:dyDescent="0.25">
      <c r="A385" s="18" t="s">
        <v>199</v>
      </c>
      <c r="B385" s="26">
        <f>B383+B384</f>
        <v>16722.370240739019</v>
      </c>
      <c r="D385" s="20">
        <f>B385/B388</f>
        <v>0.44608451571848962</v>
      </c>
      <c r="E385" s="26">
        <f>E383+E384</f>
        <v>13631.066184267762</v>
      </c>
    </row>
    <row r="386" spans="1:13" s="18" customFormat="1" x14ac:dyDescent="0.25">
      <c r="A386" s="18" t="s">
        <v>17</v>
      </c>
      <c r="B386" s="26">
        <f>F434</f>
        <v>10891.52669958214</v>
      </c>
      <c r="D386" s="20">
        <f>B386/B388</f>
        <v>0.29054143301897034</v>
      </c>
      <c r="E386" s="19">
        <f>B170</f>
        <v>7668.5773055963191</v>
      </c>
    </row>
    <row r="387" spans="1:13" s="18" customFormat="1" x14ac:dyDescent="0.25">
      <c r="A387" s="18" t="s">
        <v>48</v>
      </c>
      <c r="B387" s="26">
        <f>B380-B385-B386</f>
        <v>9873.1030596788405</v>
      </c>
      <c r="D387" s="20">
        <f>B387/B388</f>
        <v>0.2633740512625401</v>
      </c>
      <c r="E387" s="26">
        <f>B387</f>
        <v>9873.1030596788405</v>
      </c>
    </row>
    <row r="388" spans="1:13" s="18" customFormat="1" x14ac:dyDescent="0.25">
      <c r="A388" s="18" t="s">
        <v>147</v>
      </c>
      <c r="B388" s="26">
        <f>B385+B386+B387</f>
        <v>37487</v>
      </c>
      <c r="E388" s="26">
        <f>E385+E386+E387</f>
        <v>31172.746549542921</v>
      </c>
    </row>
    <row r="389" spans="1:13" s="18" customFormat="1" x14ac:dyDescent="0.25">
      <c r="B389" s="26"/>
      <c r="F389" s="26">
        <f>E383+F384+E386+E387</f>
        <v>30382.268146507889</v>
      </c>
    </row>
    <row r="390" spans="1:13" s="18" customFormat="1" x14ac:dyDescent="0.25">
      <c r="A390" s="18" t="s">
        <v>71</v>
      </c>
      <c r="B390" s="20">
        <f>(B388-E388)/B388</f>
        <v>0.16843848401998238</v>
      </c>
      <c r="F390" s="20">
        <f>(B388-F389)/B388</f>
        <v>0.18952521816875478</v>
      </c>
    </row>
    <row r="391" spans="1:13" s="18" customFormat="1" x14ac:dyDescent="0.25">
      <c r="A391" s="18" t="s">
        <v>144</v>
      </c>
      <c r="B391" s="20">
        <f>((B383+B386)-(E383+E386))/(B383+B386)</f>
        <v>0.26082701394399033</v>
      </c>
    </row>
    <row r="392" spans="1:13" s="18" customFormat="1" x14ac:dyDescent="0.25">
      <c r="A392" s="18" t="s">
        <v>156</v>
      </c>
      <c r="B392" s="21">
        <f>B388-E388</f>
        <v>6314.2534504570795</v>
      </c>
    </row>
    <row r="393" spans="1:13" s="18" customFormat="1" x14ac:dyDescent="0.25"/>
    <row r="394" spans="1:13" s="18" customFormat="1" x14ac:dyDescent="0.25">
      <c r="A394" s="17" t="s">
        <v>200</v>
      </c>
    </row>
    <row r="395" spans="1:13" s="18" customFormat="1" x14ac:dyDescent="0.25"/>
    <row r="396" spans="1:13" s="18" customFormat="1" x14ac:dyDescent="0.25">
      <c r="B396" s="18" t="s">
        <v>92</v>
      </c>
      <c r="C396" s="18" t="s">
        <v>93</v>
      </c>
      <c r="D396" s="18" t="s">
        <v>94</v>
      </c>
      <c r="E396" s="18" t="s">
        <v>201</v>
      </c>
      <c r="F396" s="18">
        <v>2023</v>
      </c>
      <c r="G396" s="18">
        <f>F396+1</f>
        <v>2024</v>
      </c>
      <c r="H396" s="18">
        <f t="shared" ref="H396:M396" si="169">G396+1</f>
        <v>2025</v>
      </c>
      <c r="I396" s="18">
        <f t="shared" si="169"/>
        <v>2026</v>
      </c>
      <c r="J396" s="18">
        <f t="shared" si="169"/>
        <v>2027</v>
      </c>
      <c r="K396" s="18">
        <f t="shared" si="169"/>
        <v>2028</v>
      </c>
      <c r="L396" s="18">
        <f t="shared" si="169"/>
        <v>2029</v>
      </c>
      <c r="M396" s="18">
        <f t="shared" si="169"/>
        <v>2030</v>
      </c>
    </row>
    <row r="397" spans="1:13" s="18" customFormat="1" x14ac:dyDescent="0.25">
      <c r="A397" s="18" t="s">
        <v>98</v>
      </c>
      <c r="B397" s="34" t="s">
        <v>178</v>
      </c>
      <c r="C397" s="18">
        <v>1500</v>
      </c>
      <c r="D397" s="18">
        <v>7.55</v>
      </c>
      <c r="E397" s="18">
        <v>2030</v>
      </c>
      <c r="F397" s="18">
        <f t="shared" ref="F397:F403" si="170">C397*(D397/100)</f>
        <v>113.25</v>
      </c>
      <c r="G397" s="18">
        <f t="shared" ref="G397:L402" si="171">F397</f>
        <v>113.25</v>
      </c>
      <c r="H397" s="18">
        <f t="shared" si="171"/>
        <v>113.25</v>
      </c>
      <c r="I397" s="18">
        <f t="shared" si="171"/>
        <v>113.25</v>
      </c>
      <c r="J397" s="18">
        <f t="shared" si="171"/>
        <v>113.25</v>
      </c>
      <c r="K397" s="18">
        <f t="shared" si="171"/>
        <v>113.25</v>
      </c>
      <c r="L397" s="18">
        <f t="shared" si="171"/>
        <v>113.25</v>
      </c>
      <c r="M397" s="18">
        <f>L397+C397</f>
        <v>1613.25</v>
      </c>
    </row>
    <row r="398" spans="1:13" s="18" customFormat="1" x14ac:dyDescent="0.25">
      <c r="A398" s="18" t="s">
        <v>101</v>
      </c>
      <c r="B398" s="35" t="s">
        <v>179</v>
      </c>
      <c r="C398" s="18">
        <v>1250</v>
      </c>
      <c r="D398" s="18">
        <v>6.75</v>
      </c>
      <c r="E398" s="18">
        <v>2028</v>
      </c>
      <c r="F398" s="18">
        <f t="shared" si="170"/>
        <v>84.375</v>
      </c>
      <c r="G398" s="18">
        <f t="shared" si="171"/>
        <v>84.375</v>
      </c>
      <c r="H398" s="18">
        <f t="shared" si="171"/>
        <v>84.375</v>
      </c>
      <c r="I398" s="18">
        <f t="shared" si="171"/>
        <v>84.375</v>
      </c>
      <c r="J398" s="18">
        <f t="shared" si="171"/>
        <v>84.375</v>
      </c>
      <c r="K398" s="18">
        <f>J398+C398</f>
        <v>1334.375</v>
      </c>
    </row>
    <row r="399" spans="1:13" s="18" customFormat="1" x14ac:dyDescent="0.25">
      <c r="A399" s="18" t="s">
        <v>104</v>
      </c>
      <c r="B399" s="34" t="s">
        <v>180</v>
      </c>
      <c r="C399" s="18">
        <v>1400</v>
      </c>
      <c r="D399" s="18">
        <v>7.85</v>
      </c>
      <c r="E399" s="18">
        <v>2029</v>
      </c>
      <c r="F399" s="18">
        <f t="shared" si="170"/>
        <v>109.9</v>
      </c>
      <c r="G399" s="18">
        <f t="shared" si="171"/>
        <v>109.9</v>
      </c>
      <c r="H399" s="18">
        <f t="shared" si="171"/>
        <v>109.9</v>
      </c>
      <c r="I399" s="18">
        <f t="shared" si="171"/>
        <v>109.9</v>
      </c>
      <c r="J399" s="18">
        <f t="shared" si="171"/>
        <v>109.9</v>
      </c>
      <c r="K399" s="18">
        <f t="shared" si="171"/>
        <v>109.9</v>
      </c>
      <c r="L399" s="18">
        <f>K399+C399</f>
        <v>1509.9</v>
      </c>
    </row>
    <row r="400" spans="1:13" s="18" customFormat="1" x14ac:dyDescent="0.25">
      <c r="A400" s="18" t="s">
        <v>107</v>
      </c>
      <c r="B400" s="34" t="s">
        <v>181</v>
      </c>
      <c r="C400" s="18">
        <v>1000</v>
      </c>
      <c r="D400" s="18">
        <v>6.8250000000000002</v>
      </c>
      <c r="E400" s="18">
        <v>2026</v>
      </c>
      <c r="F400" s="18">
        <f t="shared" si="170"/>
        <v>68.25</v>
      </c>
      <c r="G400" s="18">
        <f t="shared" si="171"/>
        <v>68.25</v>
      </c>
      <c r="H400" s="18">
        <f t="shared" si="171"/>
        <v>68.25</v>
      </c>
      <c r="I400" s="18">
        <f>H400+C400</f>
        <v>1068.25</v>
      </c>
    </row>
    <row r="401" spans="1:16" s="18" customFormat="1" x14ac:dyDescent="0.25">
      <c r="A401" s="18" t="s">
        <v>109</v>
      </c>
      <c r="B401" s="34" t="s">
        <v>182</v>
      </c>
      <c r="C401" s="18">
        <v>1500</v>
      </c>
      <c r="D401" s="18">
        <v>6.85</v>
      </c>
      <c r="E401" s="18">
        <v>2025</v>
      </c>
      <c r="F401" s="18">
        <f t="shared" si="170"/>
        <v>102.74999999999999</v>
      </c>
      <c r="G401" s="18">
        <f t="shared" si="171"/>
        <v>102.74999999999999</v>
      </c>
      <c r="H401" s="18">
        <f>G401+C401</f>
        <v>1602.75</v>
      </c>
    </row>
    <row r="402" spans="1:16" s="18" customFormat="1" x14ac:dyDescent="0.25">
      <c r="A402" s="18" t="s">
        <v>111</v>
      </c>
      <c r="B402" s="36" t="s">
        <v>183</v>
      </c>
      <c r="C402" s="18">
        <v>650</v>
      </c>
      <c r="D402" s="18">
        <v>6.125</v>
      </c>
      <c r="E402" s="18">
        <v>2025</v>
      </c>
      <c r="F402" s="18">
        <f t="shared" si="170"/>
        <v>39.8125</v>
      </c>
      <c r="G402" s="18">
        <f t="shared" si="171"/>
        <v>39.8125</v>
      </c>
      <c r="H402" s="18">
        <f>G402+C402</f>
        <v>689.8125</v>
      </c>
    </row>
    <row r="403" spans="1:16" s="18" customFormat="1" x14ac:dyDescent="0.25">
      <c r="A403" s="18" t="s">
        <v>113</v>
      </c>
      <c r="B403" s="34" t="s">
        <v>184</v>
      </c>
      <c r="C403" s="18">
        <v>1000</v>
      </c>
      <c r="D403" s="18">
        <v>6.85</v>
      </c>
      <c r="E403" s="18">
        <v>2024</v>
      </c>
      <c r="F403" s="18">
        <f t="shared" si="170"/>
        <v>68.499999999999986</v>
      </c>
      <c r="G403" s="18">
        <f>F403+C403</f>
        <v>1068.5</v>
      </c>
    </row>
    <row r="404" spans="1:16" s="18" customFormat="1" x14ac:dyDescent="0.25">
      <c r="A404" s="18" t="s">
        <v>115</v>
      </c>
      <c r="B404" s="34" t="s">
        <v>185</v>
      </c>
      <c r="C404" s="18">
        <v>1000</v>
      </c>
      <c r="D404" s="18">
        <v>5.875</v>
      </c>
      <c r="E404" s="18">
        <v>2022</v>
      </c>
      <c r="F404" s="18">
        <f>C404</f>
        <v>1000</v>
      </c>
    </row>
    <row r="405" spans="1:16" s="18" customFormat="1" x14ac:dyDescent="0.25">
      <c r="A405" s="18" t="s">
        <v>118</v>
      </c>
      <c r="B405" s="18" t="s">
        <v>186</v>
      </c>
      <c r="C405" s="18">
        <v>1500</v>
      </c>
      <c r="D405" s="18">
        <v>6.2</v>
      </c>
      <c r="E405" s="18">
        <v>2027</v>
      </c>
      <c r="F405" s="18">
        <f>C405*(D405/100)</f>
        <v>93</v>
      </c>
      <c r="G405" s="18">
        <f>F405</f>
        <v>93</v>
      </c>
      <c r="H405" s="18">
        <f t="shared" ref="H405:I405" si="172">G405</f>
        <v>93</v>
      </c>
      <c r="I405" s="18">
        <f t="shared" si="172"/>
        <v>93</v>
      </c>
      <c r="J405" s="18">
        <f>I405+C405</f>
        <v>1593</v>
      </c>
    </row>
    <row r="406" spans="1:16" s="18" customFormat="1" x14ac:dyDescent="0.25">
      <c r="A406" s="18" t="s">
        <v>120</v>
      </c>
      <c r="B406" s="18" t="s">
        <v>187</v>
      </c>
      <c r="C406" s="18">
        <v>1250</v>
      </c>
      <c r="D406" s="18">
        <v>5.75</v>
      </c>
      <c r="E406" s="18">
        <v>2023</v>
      </c>
      <c r="F406" s="18">
        <f>C406</f>
        <v>1250</v>
      </c>
    </row>
    <row r="407" spans="1:16" s="18" customFormat="1" x14ac:dyDescent="0.25">
      <c r="A407" s="18" t="s">
        <v>122</v>
      </c>
      <c r="B407" s="18" t="s">
        <v>188</v>
      </c>
      <c r="C407" s="18">
        <v>500</v>
      </c>
      <c r="D407" s="18">
        <v>6.35</v>
      </c>
      <c r="E407" s="18">
        <v>2024</v>
      </c>
      <c r="F407" s="18">
        <f>C407*(D407/100)</f>
        <v>31.75</v>
      </c>
      <c r="G407" s="18">
        <f>F407+C407</f>
        <v>531.75</v>
      </c>
    </row>
    <row r="408" spans="1:16" s="18" customFormat="1" x14ac:dyDescent="0.25"/>
    <row r="409" spans="1:16" s="18" customFormat="1" x14ac:dyDescent="0.25">
      <c r="C409" s="18" t="s">
        <v>14</v>
      </c>
      <c r="D409" s="18">
        <v>0.05</v>
      </c>
      <c r="E409" s="18" t="s">
        <v>13</v>
      </c>
      <c r="F409" s="18">
        <f>SUM(F397:F407)</f>
        <v>2961.5875000000001</v>
      </c>
      <c r="G409" s="18">
        <f t="shared" ref="G409:M409" si="173">SUM(G397:G407)</f>
        <v>2211.5875000000001</v>
      </c>
      <c r="H409" s="18">
        <f t="shared" si="173"/>
        <v>2761.3375000000001</v>
      </c>
      <c r="I409" s="18">
        <f t="shared" si="173"/>
        <v>1468.7750000000001</v>
      </c>
      <c r="J409" s="18">
        <f t="shared" si="173"/>
        <v>1900.5250000000001</v>
      </c>
      <c r="K409" s="18">
        <f t="shared" si="173"/>
        <v>1557.5250000000001</v>
      </c>
      <c r="L409" s="18">
        <f t="shared" si="173"/>
        <v>1623.15</v>
      </c>
      <c r="M409" s="18">
        <f t="shared" si="173"/>
        <v>1613.25</v>
      </c>
    </row>
    <row r="410" spans="1:16" s="18" customFormat="1" x14ac:dyDescent="0.25"/>
    <row r="411" spans="1:16" s="18" customFormat="1" x14ac:dyDescent="0.25">
      <c r="E411" s="18" t="s">
        <v>15</v>
      </c>
      <c r="F411" s="37">
        <f>NPV(D409,F409:M409)</f>
        <v>13317.060267613639</v>
      </c>
    </row>
    <row r="412" spans="1:16" s="18" customFormat="1" x14ac:dyDescent="0.25"/>
    <row r="413" spans="1:16" s="18" customFormat="1" x14ac:dyDescent="0.25">
      <c r="A413" s="17" t="s">
        <v>265</v>
      </c>
    </row>
    <row r="414" spans="1:16" s="18" customFormat="1" x14ac:dyDescent="0.25"/>
    <row r="415" spans="1:16" s="18" customFormat="1" x14ac:dyDescent="0.25">
      <c r="B415" s="18" t="s">
        <v>202</v>
      </c>
      <c r="C415" s="18" t="s">
        <v>203</v>
      </c>
      <c r="F415" s="18">
        <v>2020</v>
      </c>
      <c r="G415" s="18">
        <f>F415+1</f>
        <v>2021</v>
      </c>
      <c r="H415" s="18">
        <f t="shared" ref="H415:P415" si="174">G415+1</f>
        <v>2022</v>
      </c>
      <c r="I415" s="18">
        <f t="shared" si="174"/>
        <v>2023</v>
      </c>
      <c r="J415" s="18">
        <f t="shared" si="174"/>
        <v>2024</v>
      </c>
      <c r="K415" s="18">
        <f t="shared" si="174"/>
        <v>2025</v>
      </c>
      <c r="L415" s="18">
        <f t="shared" si="174"/>
        <v>2026</v>
      </c>
      <c r="M415" s="18">
        <f t="shared" si="174"/>
        <v>2027</v>
      </c>
      <c r="N415" s="18">
        <f t="shared" si="174"/>
        <v>2028</v>
      </c>
      <c r="O415" s="18">
        <f t="shared" si="174"/>
        <v>2029</v>
      </c>
      <c r="P415" s="18">
        <f t="shared" si="174"/>
        <v>2030</v>
      </c>
    </row>
    <row r="416" spans="1:16" s="18" customFormat="1" x14ac:dyDescent="0.25">
      <c r="A416" s="18" t="s">
        <v>204</v>
      </c>
      <c r="B416" s="18">
        <v>3267</v>
      </c>
      <c r="C416" s="38">
        <v>5.8000000000000003E-2</v>
      </c>
      <c r="E416" s="18" t="s">
        <v>69</v>
      </c>
      <c r="F416" s="18">
        <f>B416</f>
        <v>3267</v>
      </c>
      <c r="G416" s="18">
        <f>F416-F417</f>
        <v>3267</v>
      </c>
      <c r="H416" s="18">
        <f t="shared" ref="H416:P416" si="175">G416-H417</f>
        <v>2940.3</v>
      </c>
      <c r="I416" s="18">
        <f t="shared" si="175"/>
        <v>2613.6000000000004</v>
      </c>
      <c r="J416" s="18">
        <f t="shared" si="175"/>
        <v>2286.9000000000005</v>
      </c>
      <c r="K416" s="18">
        <f t="shared" si="175"/>
        <v>1960.2000000000005</v>
      </c>
      <c r="L416" s="18">
        <f t="shared" si="175"/>
        <v>1633.5000000000005</v>
      </c>
      <c r="M416" s="18">
        <f t="shared" si="175"/>
        <v>1306.8000000000004</v>
      </c>
      <c r="N416" s="18">
        <f t="shared" si="175"/>
        <v>980.10000000000036</v>
      </c>
      <c r="O416" s="18">
        <f t="shared" si="175"/>
        <v>653.40000000000032</v>
      </c>
      <c r="P416" s="18">
        <f t="shared" si="175"/>
        <v>326.70000000000033</v>
      </c>
    </row>
    <row r="417" spans="1:22" s="18" customFormat="1" x14ac:dyDescent="0.25">
      <c r="B417" s="18" t="s">
        <v>205</v>
      </c>
      <c r="C417" s="18" t="s">
        <v>206</v>
      </c>
      <c r="E417" s="18" t="s">
        <v>29</v>
      </c>
      <c r="F417" s="18">
        <v>0</v>
      </c>
      <c r="G417" s="18">
        <f>F416/10</f>
        <v>326.7</v>
      </c>
      <c r="H417" s="18">
        <f>G417</f>
        <v>326.7</v>
      </c>
      <c r="I417" s="18">
        <f t="shared" ref="I417:P417" si="176">H417</f>
        <v>326.7</v>
      </c>
      <c r="J417" s="18">
        <f t="shared" si="176"/>
        <v>326.7</v>
      </c>
      <c r="K417" s="18">
        <f t="shared" si="176"/>
        <v>326.7</v>
      </c>
      <c r="L417" s="18">
        <f t="shared" si="176"/>
        <v>326.7</v>
      </c>
      <c r="M417" s="18">
        <f t="shared" si="176"/>
        <v>326.7</v>
      </c>
      <c r="N417" s="18">
        <f t="shared" si="176"/>
        <v>326.7</v>
      </c>
      <c r="O417" s="18">
        <f t="shared" si="176"/>
        <v>326.7</v>
      </c>
      <c r="P417" s="18">
        <f t="shared" si="176"/>
        <v>326.7</v>
      </c>
    </row>
    <row r="418" spans="1:22" s="18" customFormat="1" x14ac:dyDescent="0.25">
      <c r="E418" s="18" t="s">
        <v>70</v>
      </c>
      <c r="F418" s="18">
        <f>F416*0.058</f>
        <v>189.48600000000002</v>
      </c>
      <c r="G418" s="18">
        <f t="shared" ref="G418:P418" si="177">G416*0.058</f>
        <v>189.48600000000002</v>
      </c>
      <c r="H418" s="18">
        <f t="shared" si="177"/>
        <v>170.53740000000002</v>
      </c>
      <c r="I418" s="18">
        <f t="shared" si="177"/>
        <v>151.58880000000002</v>
      </c>
      <c r="J418" s="18">
        <f t="shared" si="177"/>
        <v>132.64020000000005</v>
      </c>
      <c r="K418" s="18">
        <f t="shared" si="177"/>
        <v>113.69160000000004</v>
      </c>
      <c r="L418" s="18">
        <f t="shared" si="177"/>
        <v>94.743000000000038</v>
      </c>
      <c r="M418" s="18">
        <f t="shared" si="177"/>
        <v>75.794400000000024</v>
      </c>
      <c r="N418" s="18">
        <f t="shared" si="177"/>
        <v>56.845800000000025</v>
      </c>
      <c r="O418" s="18">
        <f t="shared" si="177"/>
        <v>37.897200000000019</v>
      </c>
      <c r="P418" s="18">
        <f t="shared" si="177"/>
        <v>18.94860000000002</v>
      </c>
    </row>
    <row r="419" spans="1:22" s="18" customFormat="1" x14ac:dyDescent="0.25"/>
    <row r="420" spans="1:22" s="18" customFormat="1" x14ac:dyDescent="0.25">
      <c r="B420" s="18" t="s">
        <v>14</v>
      </c>
      <c r="C420" s="18">
        <v>0.05</v>
      </c>
      <c r="E420" s="18" t="s">
        <v>13</v>
      </c>
      <c r="F420" s="18">
        <f>F417+F418</f>
        <v>189.48600000000002</v>
      </c>
      <c r="G420" s="18">
        <f t="shared" ref="G420:P420" si="178">G417+G418</f>
        <v>516.18600000000004</v>
      </c>
      <c r="H420" s="18">
        <f t="shared" si="178"/>
        <v>497.23739999999998</v>
      </c>
      <c r="I420" s="18">
        <f t="shared" si="178"/>
        <v>478.28880000000004</v>
      </c>
      <c r="J420" s="18">
        <f t="shared" si="178"/>
        <v>459.34020000000004</v>
      </c>
      <c r="K420" s="18">
        <f t="shared" si="178"/>
        <v>440.39160000000004</v>
      </c>
      <c r="L420" s="18">
        <f t="shared" si="178"/>
        <v>421.44300000000004</v>
      </c>
      <c r="M420" s="18">
        <f t="shared" si="178"/>
        <v>402.49440000000004</v>
      </c>
      <c r="N420" s="18">
        <f t="shared" si="178"/>
        <v>383.54579999999999</v>
      </c>
      <c r="O420" s="18">
        <f t="shared" si="178"/>
        <v>364.59719999999999</v>
      </c>
      <c r="P420" s="18">
        <f t="shared" si="178"/>
        <v>345.64859999999999</v>
      </c>
    </row>
    <row r="421" spans="1:22" s="18" customFormat="1" x14ac:dyDescent="0.25"/>
    <row r="422" spans="1:22" s="18" customFormat="1" x14ac:dyDescent="0.25">
      <c r="E422" s="18" t="s">
        <v>15</v>
      </c>
      <c r="F422" s="37">
        <f>NPV(C420,F420:P420)</f>
        <v>3405.309973125381</v>
      </c>
    </row>
    <row r="423" spans="1:22" s="18" customFormat="1" x14ac:dyDescent="0.25"/>
    <row r="424" spans="1:22" s="18" customFormat="1" x14ac:dyDescent="0.25">
      <c r="A424" s="17" t="s">
        <v>207</v>
      </c>
    </row>
    <row r="425" spans="1:22" s="18" customFormat="1" x14ac:dyDescent="0.25"/>
    <row r="426" spans="1:22" s="18" customFormat="1" x14ac:dyDescent="0.25">
      <c r="B426" s="18" t="s">
        <v>202</v>
      </c>
      <c r="C426" s="18" t="s">
        <v>203</v>
      </c>
    </row>
    <row r="427" spans="1:22" s="18" customFormat="1" x14ac:dyDescent="0.25">
      <c r="A427" s="18" t="s">
        <v>17</v>
      </c>
      <c r="B427" s="18">
        <v>12390</v>
      </c>
      <c r="C427" s="18">
        <v>2.8000000000000001E-2</v>
      </c>
      <c r="F427" s="18">
        <v>2020</v>
      </c>
      <c r="G427" s="18">
        <f>F427+1</f>
        <v>2021</v>
      </c>
      <c r="H427" s="18">
        <f t="shared" ref="H427:P427" si="179">G427+1</f>
        <v>2022</v>
      </c>
      <c r="I427" s="18">
        <f t="shared" si="179"/>
        <v>2023</v>
      </c>
      <c r="J427" s="18">
        <f t="shared" si="179"/>
        <v>2024</v>
      </c>
      <c r="K427" s="18">
        <f t="shared" si="179"/>
        <v>2025</v>
      </c>
      <c r="L427" s="18">
        <f t="shared" si="179"/>
        <v>2026</v>
      </c>
      <c r="M427" s="18">
        <f t="shared" si="179"/>
        <v>2027</v>
      </c>
      <c r="N427" s="18">
        <f t="shared" si="179"/>
        <v>2028</v>
      </c>
      <c r="O427" s="18">
        <f t="shared" si="179"/>
        <v>2029</v>
      </c>
      <c r="P427" s="18">
        <f t="shared" si="179"/>
        <v>2030</v>
      </c>
      <c r="Q427" s="18">
        <f>P427+1</f>
        <v>2031</v>
      </c>
      <c r="R427" s="18">
        <f t="shared" ref="R427:V427" si="180">Q427+1</f>
        <v>2032</v>
      </c>
      <c r="S427" s="18">
        <f t="shared" si="180"/>
        <v>2033</v>
      </c>
      <c r="T427" s="18">
        <f t="shared" si="180"/>
        <v>2034</v>
      </c>
      <c r="U427" s="18">
        <f t="shared" si="180"/>
        <v>2035</v>
      </c>
      <c r="V427" s="18">
        <f t="shared" si="180"/>
        <v>2036</v>
      </c>
    </row>
    <row r="428" spans="1:22" s="18" customFormat="1" x14ac:dyDescent="0.25">
      <c r="B428" s="18" t="s">
        <v>205</v>
      </c>
      <c r="C428" s="18" t="s">
        <v>206</v>
      </c>
      <c r="E428" s="18" t="s">
        <v>69</v>
      </c>
      <c r="F428" s="18">
        <f>B427</f>
        <v>12390</v>
      </c>
      <c r="G428" s="18">
        <f>F428-F429</f>
        <v>12390</v>
      </c>
      <c r="H428" s="18">
        <f t="shared" ref="H428:U428" si="181">G428-H429</f>
        <v>11564</v>
      </c>
      <c r="I428" s="18">
        <f t="shared" si="181"/>
        <v>10738</v>
      </c>
      <c r="J428" s="18">
        <f t="shared" si="181"/>
        <v>9912</v>
      </c>
      <c r="K428" s="18">
        <f t="shared" si="181"/>
        <v>9086</v>
      </c>
      <c r="L428" s="18">
        <f t="shared" si="181"/>
        <v>8260</v>
      </c>
      <c r="M428" s="18">
        <f t="shared" si="181"/>
        <v>7434</v>
      </c>
      <c r="N428" s="18">
        <f t="shared" si="181"/>
        <v>6608</v>
      </c>
      <c r="O428" s="18">
        <f t="shared" si="181"/>
        <v>5782</v>
      </c>
      <c r="P428" s="18">
        <f t="shared" si="181"/>
        <v>4956</v>
      </c>
      <c r="Q428" s="18">
        <f t="shared" si="181"/>
        <v>4130</v>
      </c>
      <c r="R428" s="18">
        <f t="shared" si="181"/>
        <v>3304</v>
      </c>
      <c r="S428" s="18">
        <f t="shared" si="181"/>
        <v>2478</v>
      </c>
      <c r="T428" s="18">
        <f t="shared" si="181"/>
        <v>1652</v>
      </c>
      <c r="U428" s="18">
        <f t="shared" si="181"/>
        <v>826</v>
      </c>
      <c r="V428" s="18">
        <v>0</v>
      </c>
    </row>
    <row r="429" spans="1:22" s="18" customFormat="1" x14ac:dyDescent="0.25">
      <c r="E429" s="18" t="s">
        <v>29</v>
      </c>
      <c r="F429" s="18">
        <v>0</v>
      </c>
      <c r="G429" s="18">
        <f>F428/15</f>
        <v>826</v>
      </c>
      <c r="H429" s="18">
        <f>G429</f>
        <v>826</v>
      </c>
      <c r="I429" s="18">
        <f t="shared" ref="I429:V429" si="182">H429</f>
        <v>826</v>
      </c>
      <c r="J429" s="18">
        <f t="shared" si="182"/>
        <v>826</v>
      </c>
      <c r="K429" s="18">
        <f t="shared" si="182"/>
        <v>826</v>
      </c>
      <c r="L429" s="18">
        <f t="shared" si="182"/>
        <v>826</v>
      </c>
      <c r="M429" s="18">
        <f t="shared" si="182"/>
        <v>826</v>
      </c>
      <c r="N429" s="18">
        <f t="shared" si="182"/>
        <v>826</v>
      </c>
      <c r="O429" s="18">
        <f t="shared" si="182"/>
        <v>826</v>
      </c>
      <c r="P429" s="18">
        <f t="shared" si="182"/>
        <v>826</v>
      </c>
      <c r="Q429" s="18">
        <f t="shared" si="182"/>
        <v>826</v>
      </c>
      <c r="R429" s="18">
        <f t="shared" si="182"/>
        <v>826</v>
      </c>
      <c r="S429" s="18">
        <f t="shared" si="182"/>
        <v>826</v>
      </c>
      <c r="T429" s="18">
        <f t="shared" si="182"/>
        <v>826</v>
      </c>
      <c r="U429" s="18">
        <f t="shared" si="182"/>
        <v>826</v>
      </c>
      <c r="V429" s="18">
        <f t="shared" si="182"/>
        <v>826</v>
      </c>
    </row>
    <row r="430" spans="1:22" s="18" customFormat="1" x14ac:dyDescent="0.25">
      <c r="E430" s="18" t="s">
        <v>70</v>
      </c>
      <c r="F430" s="18">
        <f>F428*0.028</f>
        <v>346.92</v>
      </c>
      <c r="G430" s="18">
        <f t="shared" ref="G430:V430" si="183">G428*0.028</f>
        <v>346.92</v>
      </c>
      <c r="H430" s="18">
        <f t="shared" si="183"/>
        <v>323.79200000000003</v>
      </c>
      <c r="I430" s="18">
        <f t="shared" si="183"/>
        <v>300.66399999999999</v>
      </c>
      <c r="J430" s="18">
        <f t="shared" si="183"/>
        <v>277.536</v>
      </c>
      <c r="K430" s="18">
        <f t="shared" si="183"/>
        <v>254.40800000000002</v>
      </c>
      <c r="L430" s="18">
        <f t="shared" si="183"/>
        <v>231.28</v>
      </c>
      <c r="M430" s="18">
        <f t="shared" si="183"/>
        <v>208.15200000000002</v>
      </c>
      <c r="N430" s="18">
        <f t="shared" si="183"/>
        <v>185.024</v>
      </c>
      <c r="O430" s="18">
        <f t="shared" si="183"/>
        <v>161.89600000000002</v>
      </c>
      <c r="P430" s="18">
        <f t="shared" si="183"/>
        <v>138.768</v>
      </c>
      <c r="Q430" s="18">
        <f t="shared" si="183"/>
        <v>115.64</v>
      </c>
      <c r="R430" s="18">
        <f t="shared" si="183"/>
        <v>92.512</v>
      </c>
      <c r="S430" s="18">
        <f t="shared" si="183"/>
        <v>69.384</v>
      </c>
      <c r="T430" s="18">
        <f t="shared" si="183"/>
        <v>46.256</v>
      </c>
      <c r="U430" s="18">
        <f t="shared" si="183"/>
        <v>23.128</v>
      </c>
      <c r="V430" s="18">
        <f t="shared" si="183"/>
        <v>0</v>
      </c>
    </row>
    <row r="431" spans="1:22" s="18" customFormat="1" x14ac:dyDescent="0.25"/>
    <row r="432" spans="1:22" s="18" customFormat="1" x14ac:dyDescent="0.25">
      <c r="B432" s="18" t="s">
        <v>14</v>
      </c>
      <c r="C432" s="18">
        <v>0.05</v>
      </c>
      <c r="E432" s="18" t="s">
        <v>13</v>
      </c>
      <c r="F432" s="18">
        <f>F429+F430</f>
        <v>346.92</v>
      </c>
      <c r="G432" s="18">
        <f t="shared" ref="G432:V432" si="184">G429+G430</f>
        <v>1172.92</v>
      </c>
      <c r="H432" s="18">
        <f t="shared" si="184"/>
        <v>1149.7919999999999</v>
      </c>
      <c r="I432" s="18">
        <f t="shared" si="184"/>
        <v>1126.664</v>
      </c>
      <c r="J432" s="18">
        <f t="shared" si="184"/>
        <v>1103.5360000000001</v>
      </c>
      <c r="K432" s="18">
        <f t="shared" si="184"/>
        <v>1080.4079999999999</v>
      </c>
      <c r="L432" s="18">
        <f t="shared" si="184"/>
        <v>1057.28</v>
      </c>
      <c r="M432" s="18">
        <f t="shared" si="184"/>
        <v>1034.152</v>
      </c>
      <c r="N432" s="18">
        <f t="shared" si="184"/>
        <v>1011.024</v>
      </c>
      <c r="O432" s="18">
        <f t="shared" si="184"/>
        <v>987.89599999999996</v>
      </c>
      <c r="P432" s="18">
        <f t="shared" si="184"/>
        <v>964.76800000000003</v>
      </c>
      <c r="Q432" s="18">
        <f t="shared" si="184"/>
        <v>941.64</v>
      </c>
      <c r="R432" s="18">
        <f t="shared" si="184"/>
        <v>918.51199999999994</v>
      </c>
      <c r="S432" s="18">
        <f t="shared" si="184"/>
        <v>895.38400000000001</v>
      </c>
      <c r="T432" s="18">
        <f t="shared" si="184"/>
        <v>872.25599999999997</v>
      </c>
      <c r="U432" s="18">
        <f t="shared" si="184"/>
        <v>849.12800000000004</v>
      </c>
      <c r="V432" s="18">
        <f t="shared" si="184"/>
        <v>826</v>
      </c>
    </row>
    <row r="433" spans="5:6" s="18" customFormat="1" x14ac:dyDescent="0.25"/>
    <row r="434" spans="5:6" s="18" customFormat="1" x14ac:dyDescent="0.25">
      <c r="E434" s="18" t="s">
        <v>15</v>
      </c>
      <c r="F434" s="37">
        <f>NPV(C432,F432:V432)</f>
        <v>10891.52669958214</v>
      </c>
    </row>
  </sheetData>
  <hyperlinks>
    <hyperlink ref="B157" r:id="rId1" xr:uid="{13B821A3-0779-4CD1-9093-44552CD4B3E0}"/>
    <hyperlink ref="B154" r:id="rId2" xr:uid="{2B68432C-4CA8-4E56-883B-317C4731CF18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76830-B33D-493F-8FC6-A78DD8A94843}">
  <dimension ref="A1:AT191"/>
  <sheetViews>
    <sheetView topLeftCell="A136" workbookViewId="0">
      <selection activeCell="E152" sqref="E152"/>
    </sheetView>
  </sheetViews>
  <sheetFormatPr defaultRowHeight="15" x14ac:dyDescent="0.25"/>
  <sheetData>
    <row r="1" spans="1:8" x14ac:dyDescent="0.25">
      <c r="A1" s="1" t="s">
        <v>210</v>
      </c>
    </row>
    <row r="3" spans="1:8" s="4" customFormat="1" x14ac:dyDescent="0.25">
      <c r="A3" s="3" t="s">
        <v>30</v>
      </c>
    </row>
    <row r="4" spans="1:8" s="4" customFormat="1" x14ac:dyDescent="0.25"/>
    <row r="5" spans="1:8" s="4" customFormat="1" x14ac:dyDescent="0.25">
      <c r="A5" s="4" t="s">
        <v>43</v>
      </c>
      <c r="B5" s="40" t="s">
        <v>211</v>
      </c>
    </row>
    <row r="6" spans="1:8" s="4" customFormat="1" x14ac:dyDescent="0.25">
      <c r="A6" s="40"/>
      <c r="B6" s="4">
        <v>2024</v>
      </c>
      <c r="C6" s="4">
        <f>B6+1</f>
        <v>2025</v>
      </c>
      <c r="D6" s="4">
        <f t="shared" ref="D6:G6" si="0">C6+1</f>
        <v>2026</v>
      </c>
      <c r="E6" s="4">
        <f t="shared" si="0"/>
        <v>2027</v>
      </c>
      <c r="F6" s="4">
        <f t="shared" si="0"/>
        <v>2028</v>
      </c>
      <c r="G6" s="4">
        <f t="shared" si="0"/>
        <v>2029</v>
      </c>
    </row>
    <row r="7" spans="1:8" s="4" customFormat="1" x14ac:dyDescent="0.25">
      <c r="A7" s="4" t="s">
        <v>212</v>
      </c>
      <c r="B7" s="4">
        <v>208</v>
      </c>
      <c r="C7" s="4">
        <v>141</v>
      </c>
      <c r="D7" s="4">
        <v>144</v>
      </c>
      <c r="E7" s="4">
        <v>245</v>
      </c>
      <c r="F7" s="4">
        <v>240</v>
      </c>
      <c r="G7" s="4">
        <v>271</v>
      </c>
    </row>
    <row r="8" spans="1:8" s="4" customFormat="1" x14ac:dyDescent="0.25">
      <c r="A8" s="4" t="s">
        <v>213</v>
      </c>
      <c r="B8" s="4">
        <v>3.6</v>
      </c>
      <c r="C8" s="4">
        <v>4</v>
      </c>
      <c r="D8" s="4">
        <v>4.4000000000000004</v>
      </c>
      <c r="E8" s="4">
        <v>5</v>
      </c>
      <c r="F8" s="4">
        <v>5.0999999999999996</v>
      </c>
      <c r="G8" s="4">
        <v>5.3</v>
      </c>
    </row>
    <row r="9" spans="1:8" s="4" customFormat="1" x14ac:dyDescent="0.25">
      <c r="A9" s="4" t="s">
        <v>214</v>
      </c>
      <c r="B9" s="4">
        <v>70.2</v>
      </c>
      <c r="C9" s="4">
        <v>68.400000000000006</v>
      </c>
      <c r="D9" s="4">
        <v>65.5</v>
      </c>
      <c r="E9" s="4">
        <v>60.3</v>
      </c>
      <c r="F9" s="4">
        <v>55.3</v>
      </c>
      <c r="G9" s="4">
        <v>49.1</v>
      </c>
    </row>
    <row r="10" spans="1:8" s="4" customFormat="1" x14ac:dyDescent="0.25">
      <c r="A10" s="4" t="s">
        <v>221</v>
      </c>
      <c r="B10" s="4">
        <v>4.3369999999999997</v>
      </c>
      <c r="C10" s="4">
        <v>4.5999999999999996</v>
      </c>
      <c r="D10" s="4">
        <v>4.7880000000000003</v>
      </c>
      <c r="E10" s="4">
        <v>5.0549999999999997</v>
      </c>
      <c r="F10" s="4">
        <v>5.2869999999999999</v>
      </c>
      <c r="G10" s="4">
        <v>5.59</v>
      </c>
    </row>
    <row r="11" spans="1:8" s="4" customFormat="1" x14ac:dyDescent="0.25">
      <c r="A11" s="4" t="s">
        <v>215</v>
      </c>
      <c r="B11" s="4">
        <f>(B10*(B9/100))*1000</f>
        <v>3044.5740000000005</v>
      </c>
      <c r="C11" s="4">
        <f t="shared" ref="C11:G11" si="1">(C10*(C9/100))*1000</f>
        <v>3146.3999999999996</v>
      </c>
      <c r="D11" s="4">
        <f t="shared" si="1"/>
        <v>3136.1400000000003</v>
      </c>
      <c r="E11" s="4">
        <f t="shared" si="1"/>
        <v>3048.1649999999995</v>
      </c>
      <c r="F11" s="4">
        <f t="shared" si="1"/>
        <v>2923.7109999999993</v>
      </c>
      <c r="G11" s="4">
        <f t="shared" si="1"/>
        <v>2744.69</v>
      </c>
    </row>
    <row r="12" spans="1:8" s="4" customFormat="1" x14ac:dyDescent="0.25">
      <c r="A12" s="4" t="s">
        <v>216</v>
      </c>
      <c r="B12" s="4">
        <f>B11*(B8/100)</f>
        <v>109.60466400000003</v>
      </c>
      <c r="C12" s="4">
        <f t="shared" ref="C12:G12" si="2">C11*(C8/100)</f>
        <v>125.85599999999999</v>
      </c>
      <c r="D12" s="4">
        <f t="shared" si="2"/>
        <v>137.99016000000003</v>
      </c>
      <c r="E12" s="4">
        <f t="shared" si="2"/>
        <v>152.40824999999998</v>
      </c>
      <c r="F12" s="4">
        <f t="shared" si="2"/>
        <v>149.10926099999995</v>
      </c>
      <c r="G12" s="4">
        <f t="shared" si="2"/>
        <v>145.46857</v>
      </c>
    </row>
    <row r="13" spans="1:8" s="4" customFormat="1" x14ac:dyDescent="0.25">
      <c r="A13" s="4" t="s">
        <v>217</v>
      </c>
      <c r="B13" s="4">
        <f t="shared" ref="B13:G13" si="3">B7+B12</f>
        <v>317.60466400000001</v>
      </c>
      <c r="C13" s="4">
        <f t="shared" si="3"/>
        <v>266.85599999999999</v>
      </c>
      <c r="D13" s="4">
        <f t="shared" si="3"/>
        <v>281.99016000000006</v>
      </c>
      <c r="E13" s="4">
        <f t="shared" si="3"/>
        <v>397.40824999999995</v>
      </c>
      <c r="F13" s="4">
        <f t="shared" si="3"/>
        <v>389.10926099999995</v>
      </c>
      <c r="G13" s="4">
        <f t="shared" si="3"/>
        <v>416.46857</v>
      </c>
    </row>
    <row r="14" spans="1:8" s="4" customFormat="1" x14ac:dyDescent="0.25">
      <c r="A14" s="4" t="s">
        <v>218</v>
      </c>
      <c r="B14" s="4">
        <v>25.7</v>
      </c>
      <c r="C14" s="4">
        <v>25.5</v>
      </c>
      <c r="D14" s="4">
        <v>25.5</v>
      </c>
      <c r="E14" s="4">
        <v>25.5</v>
      </c>
      <c r="F14" s="4">
        <v>25.5</v>
      </c>
      <c r="G14" s="4">
        <v>25.5</v>
      </c>
    </row>
    <row r="15" spans="1:8" s="4" customFormat="1" x14ac:dyDescent="0.25">
      <c r="A15" s="4" t="s">
        <v>219</v>
      </c>
      <c r="B15" s="4">
        <f>(B10*(B14/100))*1000</f>
        <v>1114.6089999999999</v>
      </c>
      <c r="C15" s="4">
        <f t="shared" ref="C15:G15" si="4">(C10*(C14/100))*1000</f>
        <v>1172.9999999999998</v>
      </c>
      <c r="D15" s="4">
        <f t="shared" si="4"/>
        <v>1220.94</v>
      </c>
      <c r="E15" s="4">
        <f t="shared" si="4"/>
        <v>1289.0249999999999</v>
      </c>
      <c r="F15" s="4">
        <f t="shared" si="4"/>
        <v>1348.1849999999999</v>
      </c>
      <c r="G15" s="4">
        <f t="shared" si="4"/>
        <v>1425.4499999999998</v>
      </c>
    </row>
    <row r="16" spans="1:8" s="4" customFormat="1" x14ac:dyDescent="0.25">
      <c r="A16" s="4" t="s">
        <v>220</v>
      </c>
      <c r="B16" s="6">
        <f>B13/B15</f>
        <v>0.28494715545989674</v>
      </c>
      <c r="C16" s="6">
        <f t="shared" ref="C16:G16" si="5">C13/C15</f>
        <v>0.22749872122762152</v>
      </c>
      <c r="D16" s="6">
        <f t="shared" si="5"/>
        <v>0.23096152145068558</v>
      </c>
      <c r="E16" s="6">
        <f t="shared" si="5"/>
        <v>0.30830142937491517</v>
      </c>
      <c r="F16" s="6">
        <f t="shared" si="5"/>
        <v>0.28861711189488087</v>
      </c>
      <c r="G16" s="6">
        <f t="shared" si="5"/>
        <v>0.29216638254586275</v>
      </c>
      <c r="H16" s="6">
        <f>SUM(B16:G16)/6</f>
        <v>0.27208205365897709</v>
      </c>
    </row>
    <row r="18" spans="1:32" s="8" customFormat="1" x14ac:dyDescent="0.25">
      <c r="A18" s="7" t="s">
        <v>31</v>
      </c>
    </row>
    <row r="19" spans="1:32" s="8" customFormat="1" x14ac:dyDescent="0.25"/>
    <row r="20" spans="1:32" s="8" customFormat="1" x14ac:dyDescent="0.25">
      <c r="A20" s="7" t="s">
        <v>66</v>
      </c>
      <c r="B20" s="8" t="s">
        <v>226</v>
      </c>
      <c r="C20" s="9" t="s">
        <v>222</v>
      </c>
    </row>
    <row r="21" spans="1:32" s="8" customFormat="1" x14ac:dyDescent="0.25">
      <c r="C21" s="8" t="s">
        <v>224</v>
      </c>
    </row>
    <row r="22" spans="1:32" s="8" customFormat="1" x14ac:dyDescent="0.25">
      <c r="A22" s="8" t="s">
        <v>227</v>
      </c>
      <c r="B22" s="8">
        <v>675</v>
      </c>
    </row>
    <row r="23" spans="1:32" s="8" customFormat="1" x14ac:dyDescent="0.25"/>
    <row r="24" spans="1:32" s="8" customFormat="1" x14ac:dyDescent="0.25">
      <c r="C24" s="8">
        <v>2021</v>
      </c>
      <c r="D24" s="8">
        <f>C24+1</f>
        <v>2022</v>
      </c>
      <c r="E24" s="8">
        <f t="shared" ref="E24:H24" si="6">D24+1</f>
        <v>2023</v>
      </c>
      <c r="F24" s="8">
        <f t="shared" si="6"/>
        <v>2024</v>
      </c>
      <c r="G24" s="8">
        <f t="shared" si="6"/>
        <v>2025</v>
      </c>
      <c r="H24" s="8">
        <f t="shared" si="6"/>
        <v>2026</v>
      </c>
      <c r="I24" s="8">
        <f>H24+1</f>
        <v>2027</v>
      </c>
      <c r="J24" s="8">
        <f t="shared" ref="J24:P24" si="7">I24+1</f>
        <v>2028</v>
      </c>
      <c r="K24" s="8">
        <f t="shared" si="7"/>
        <v>2029</v>
      </c>
      <c r="L24" s="8">
        <f t="shared" si="7"/>
        <v>2030</v>
      </c>
      <c r="M24" s="8">
        <f t="shared" si="7"/>
        <v>2031</v>
      </c>
      <c r="N24" s="8">
        <f t="shared" si="7"/>
        <v>2032</v>
      </c>
      <c r="O24" s="8">
        <f t="shared" si="7"/>
        <v>2033</v>
      </c>
      <c r="P24" s="8">
        <f t="shared" si="7"/>
        <v>2034</v>
      </c>
      <c r="Q24" s="8">
        <f t="shared" ref="Q24" si="8">P24+1</f>
        <v>2035</v>
      </c>
      <c r="R24" s="8">
        <f t="shared" ref="R24" si="9">Q24+1</f>
        <v>2036</v>
      </c>
      <c r="S24" s="8">
        <f t="shared" ref="S24" si="10">R24+1</f>
        <v>2037</v>
      </c>
      <c r="T24" s="8">
        <f t="shared" ref="T24" si="11">S24+1</f>
        <v>2038</v>
      </c>
      <c r="U24" s="8">
        <f t="shared" ref="U24" si="12">T24+1</f>
        <v>2039</v>
      </c>
      <c r="V24" s="8">
        <f t="shared" ref="V24" si="13">U24+1</f>
        <v>2040</v>
      </c>
      <c r="W24" s="8">
        <f t="shared" ref="W24" si="14">V24+1</f>
        <v>2041</v>
      </c>
      <c r="X24" s="8">
        <f t="shared" ref="X24" si="15">W24+1</f>
        <v>2042</v>
      </c>
      <c r="Y24" s="8">
        <f t="shared" ref="Y24" si="16">X24+1</f>
        <v>2043</v>
      </c>
      <c r="Z24" s="8">
        <f t="shared" ref="Z24" si="17">Y24+1</f>
        <v>2044</v>
      </c>
      <c r="AA24" s="8">
        <f t="shared" ref="AA24" si="18">Z24+1</f>
        <v>2045</v>
      </c>
      <c r="AB24" s="8">
        <f t="shared" ref="AB24" si="19">AA24+1</f>
        <v>2046</v>
      </c>
      <c r="AC24" s="8">
        <f t="shared" ref="AC24" si="20">AB24+1</f>
        <v>2047</v>
      </c>
      <c r="AD24" s="8">
        <f t="shared" ref="AD24" si="21">AC24+1</f>
        <v>2048</v>
      </c>
      <c r="AE24" s="8">
        <f t="shared" ref="AE24" si="22">AD24+1</f>
        <v>2049</v>
      </c>
      <c r="AF24" s="8">
        <f t="shared" ref="AF24" si="23">AE24+1</f>
        <v>2050</v>
      </c>
    </row>
    <row r="25" spans="1:32" s="8" customFormat="1" x14ac:dyDescent="0.25">
      <c r="A25" s="8" t="s">
        <v>69</v>
      </c>
      <c r="B25" s="8">
        <v>660</v>
      </c>
      <c r="F25" s="8">
        <f>B25*1.03</f>
        <v>679.80000000000007</v>
      </c>
      <c r="G25" s="8">
        <f>F25*1.03</f>
        <v>700.19400000000007</v>
      </c>
      <c r="H25" s="8">
        <f>G25</f>
        <v>700.19400000000007</v>
      </c>
      <c r="I25" s="8">
        <f>H25-I27</f>
        <v>600.16631572260007</v>
      </c>
      <c r="J25" s="8">
        <f t="shared" ref="J25:N25" si="24">I25-J27</f>
        <v>500.13863144520008</v>
      </c>
      <c r="K25" s="8">
        <f t="shared" si="24"/>
        <v>400.11094716780008</v>
      </c>
      <c r="L25" s="8">
        <f t="shared" si="24"/>
        <v>300.08326289040008</v>
      </c>
      <c r="M25" s="8">
        <f t="shared" si="24"/>
        <v>200.05557861300008</v>
      </c>
      <c r="N25" s="8">
        <f t="shared" si="24"/>
        <v>100.02789433560008</v>
      </c>
      <c r="O25" s="8">
        <v>0</v>
      </c>
      <c r="P25" s="9" t="s">
        <v>222</v>
      </c>
    </row>
    <row r="26" spans="1:32" s="8" customFormat="1" x14ac:dyDescent="0.25">
      <c r="A26" s="8" t="s">
        <v>70</v>
      </c>
      <c r="F26" s="8">
        <f>B25*0.0495</f>
        <v>32.67</v>
      </c>
      <c r="G26" s="8">
        <f>F25*0.0495</f>
        <v>33.650100000000002</v>
      </c>
      <c r="H26" s="8">
        <f>G25*0.0795</f>
        <v>55.665423000000004</v>
      </c>
      <c r="I26" s="8">
        <f t="shared" ref="I26:O26" si="25">H25*0.0795</f>
        <v>55.665423000000004</v>
      </c>
      <c r="J26" s="8">
        <f t="shared" si="25"/>
        <v>47.713222099946705</v>
      </c>
      <c r="K26" s="8">
        <f t="shared" si="25"/>
        <v>39.761021199893406</v>
      </c>
      <c r="L26" s="8">
        <f t="shared" si="25"/>
        <v>31.808820299840107</v>
      </c>
      <c r="M26" s="8">
        <f t="shared" si="25"/>
        <v>23.856619399786808</v>
      </c>
      <c r="N26" s="8">
        <f t="shared" si="25"/>
        <v>15.904418499733506</v>
      </c>
      <c r="O26" s="8">
        <f t="shared" si="25"/>
        <v>7.9522175996802069</v>
      </c>
    </row>
    <row r="27" spans="1:32" s="8" customFormat="1" x14ac:dyDescent="0.25">
      <c r="A27" s="8" t="s">
        <v>29</v>
      </c>
      <c r="I27" s="8">
        <f>H25*0.1428571</f>
        <v>100.0276842774</v>
      </c>
      <c r="J27" s="8">
        <f>I27</f>
        <v>100.0276842774</v>
      </c>
      <c r="K27" s="8">
        <f t="shared" ref="K27:O27" si="26">J27</f>
        <v>100.0276842774</v>
      </c>
      <c r="L27" s="8">
        <f t="shared" si="26"/>
        <v>100.0276842774</v>
      </c>
      <c r="M27" s="8">
        <f t="shared" si="26"/>
        <v>100.0276842774</v>
      </c>
      <c r="N27" s="8">
        <f t="shared" si="26"/>
        <v>100.0276842774</v>
      </c>
      <c r="O27" s="8">
        <f t="shared" si="26"/>
        <v>100.0276842774</v>
      </c>
    </row>
    <row r="28" spans="1:32" s="8" customFormat="1" x14ac:dyDescent="0.25">
      <c r="A28" s="8" t="s">
        <v>223</v>
      </c>
      <c r="F28" s="8">
        <v>10</v>
      </c>
      <c r="P28" s="8" t="s">
        <v>224</v>
      </c>
    </row>
    <row r="29" spans="1:32" s="8" customFormat="1" x14ac:dyDescent="0.25">
      <c r="B29" s="8" t="s">
        <v>13</v>
      </c>
      <c r="C29" s="8">
        <v>0</v>
      </c>
      <c r="D29" s="8">
        <v>0</v>
      </c>
      <c r="E29" s="8">
        <v>0</v>
      </c>
      <c r="F29" s="8">
        <f>F26+F27+F28</f>
        <v>42.67</v>
      </c>
      <c r="G29" s="8">
        <f t="shared" ref="G29:O29" si="27">G26+G27</f>
        <v>33.650100000000002</v>
      </c>
      <c r="H29" s="8">
        <f t="shared" si="27"/>
        <v>55.665423000000004</v>
      </c>
      <c r="I29" s="8">
        <f t="shared" si="27"/>
        <v>155.6931072774</v>
      </c>
      <c r="J29" s="8">
        <f t="shared" si="27"/>
        <v>147.7409063773467</v>
      </c>
      <c r="K29" s="8">
        <f t="shared" si="27"/>
        <v>139.78870547729341</v>
      </c>
      <c r="L29" s="8">
        <f t="shared" si="27"/>
        <v>131.83650457724011</v>
      </c>
      <c r="M29" s="8">
        <f t="shared" si="27"/>
        <v>123.88430367718681</v>
      </c>
      <c r="N29" s="8">
        <f t="shared" si="27"/>
        <v>115.93210277713351</v>
      </c>
      <c r="O29" s="8">
        <f t="shared" si="27"/>
        <v>107.97990187708021</v>
      </c>
    </row>
    <row r="30" spans="1:32" s="8" customFormat="1" x14ac:dyDescent="0.25"/>
    <row r="31" spans="1:32" s="8" customFormat="1" x14ac:dyDescent="0.25">
      <c r="A31" s="8" t="s">
        <v>225</v>
      </c>
      <c r="B31" s="39">
        <v>0.05</v>
      </c>
    </row>
    <row r="32" spans="1:32" s="8" customFormat="1" x14ac:dyDescent="0.25"/>
    <row r="33" spans="1:32" s="8" customFormat="1" x14ac:dyDescent="0.25">
      <c r="A33" s="8" t="s">
        <v>15</v>
      </c>
      <c r="B33" s="10">
        <f>NPV(B31,C29:O29)</f>
        <v>678.95107974743974</v>
      </c>
    </row>
    <row r="34" spans="1:32" s="8" customFormat="1" x14ac:dyDescent="0.25"/>
    <row r="35" spans="1:32" s="8" customFormat="1" x14ac:dyDescent="0.25">
      <c r="A35" s="8" t="s">
        <v>83</v>
      </c>
      <c r="B35" s="11">
        <f>B33/B22</f>
        <v>1.0058534514776885</v>
      </c>
    </row>
    <row r="36" spans="1:32" s="8" customFormat="1" x14ac:dyDescent="0.25"/>
    <row r="37" spans="1:32" s="8" customFormat="1" x14ac:dyDescent="0.25">
      <c r="A37" s="7"/>
      <c r="B37" s="22" t="s">
        <v>228</v>
      </c>
      <c r="K37" s="8">
        <f>788/22</f>
        <v>35.81818181818182</v>
      </c>
      <c r="L37" s="8">
        <f>K37</f>
        <v>35.81818181818182</v>
      </c>
      <c r="M37" s="8">
        <f t="shared" ref="M37:AF37" si="28">L37</f>
        <v>35.81818181818182</v>
      </c>
      <c r="N37" s="8">
        <f t="shared" si="28"/>
        <v>35.81818181818182</v>
      </c>
      <c r="O37" s="8">
        <f t="shared" si="28"/>
        <v>35.81818181818182</v>
      </c>
      <c r="P37" s="8">
        <f t="shared" si="28"/>
        <v>35.81818181818182</v>
      </c>
      <c r="Q37" s="8">
        <f t="shared" si="28"/>
        <v>35.81818181818182</v>
      </c>
      <c r="R37" s="8">
        <f t="shared" si="28"/>
        <v>35.81818181818182</v>
      </c>
      <c r="S37" s="8">
        <f t="shared" si="28"/>
        <v>35.81818181818182</v>
      </c>
      <c r="T37" s="8">
        <f t="shared" si="28"/>
        <v>35.81818181818182</v>
      </c>
      <c r="U37" s="8">
        <f t="shared" si="28"/>
        <v>35.81818181818182</v>
      </c>
      <c r="V37" s="8">
        <f t="shared" si="28"/>
        <v>35.81818181818182</v>
      </c>
      <c r="W37" s="8">
        <f t="shared" si="28"/>
        <v>35.81818181818182</v>
      </c>
      <c r="X37" s="8">
        <f t="shared" si="28"/>
        <v>35.81818181818182</v>
      </c>
      <c r="Y37" s="8">
        <f t="shared" si="28"/>
        <v>35.81818181818182</v>
      </c>
      <c r="Z37" s="8">
        <f t="shared" si="28"/>
        <v>35.81818181818182</v>
      </c>
      <c r="AA37" s="8">
        <f t="shared" si="28"/>
        <v>35.81818181818182</v>
      </c>
      <c r="AB37" s="8">
        <f t="shared" si="28"/>
        <v>35.81818181818182</v>
      </c>
      <c r="AC37" s="8">
        <f t="shared" si="28"/>
        <v>35.81818181818182</v>
      </c>
      <c r="AD37" s="8">
        <f t="shared" si="28"/>
        <v>35.81818181818182</v>
      </c>
      <c r="AE37" s="8">
        <f t="shared" si="28"/>
        <v>35.81818181818182</v>
      </c>
      <c r="AF37" s="8">
        <f t="shared" si="28"/>
        <v>35.81818181818182</v>
      </c>
    </row>
    <row r="38" spans="1:32" s="8" customFormat="1" x14ac:dyDescent="0.25">
      <c r="A38" s="7"/>
      <c r="B38" s="22" t="s">
        <v>229</v>
      </c>
    </row>
    <row r="39" spans="1:32" s="8" customFormat="1" x14ac:dyDescent="0.25">
      <c r="B39" s="8" t="s">
        <v>230</v>
      </c>
    </row>
    <row r="40" spans="1:32" s="8" customFormat="1" x14ac:dyDescent="0.25">
      <c r="B40" s="22" t="s">
        <v>232</v>
      </c>
    </row>
    <row r="41" spans="1:32" s="8" customFormat="1" x14ac:dyDescent="0.25">
      <c r="B41" s="22"/>
    </row>
    <row r="42" spans="1:32" s="8" customFormat="1" x14ac:dyDescent="0.25">
      <c r="B42" s="22" t="s">
        <v>231</v>
      </c>
      <c r="C42" s="8">
        <f>C29+C37</f>
        <v>0</v>
      </c>
      <c r="D42" s="8">
        <f t="shared" ref="D42:AF42" si="29">D29+D37</f>
        <v>0</v>
      </c>
      <c r="E42" s="8">
        <f t="shared" si="29"/>
        <v>0</v>
      </c>
      <c r="F42" s="8">
        <f t="shared" si="29"/>
        <v>42.67</v>
      </c>
      <c r="G42" s="8">
        <f t="shared" si="29"/>
        <v>33.650100000000002</v>
      </c>
      <c r="H42" s="8">
        <f t="shared" si="29"/>
        <v>55.665423000000004</v>
      </c>
      <c r="I42" s="8">
        <f t="shared" si="29"/>
        <v>155.6931072774</v>
      </c>
      <c r="J42" s="8">
        <f t="shared" si="29"/>
        <v>147.7409063773467</v>
      </c>
      <c r="K42" s="8">
        <f t="shared" si="29"/>
        <v>175.60688729547522</v>
      </c>
      <c r="L42" s="8">
        <f t="shared" si="29"/>
        <v>167.65468639542192</v>
      </c>
      <c r="M42" s="8">
        <f t="shared" si="29"/>
        <v>159.70248549536862</v>
      </c>
      <c r="N42" s="8">
        <f t="shared" si="29"/>
        <v>151.75028459531532</v>
      </c>
      <c r="O42" s="8">
        <f t="shared" si="29"/>
        <v>143.79808369526202</v>
      </c>
      <c r="P42" s="8">
        <f t="shared" si="29"/>
        <v>35.81818181818182</v>
      </c>
      <c r="Q42" s="8">
        <f t="shared" si="29"/>
        <v>35.81818181818182</v>
      </c>
      <c r="R42" s="8">
        <f t="shared" si="29"/>
        <v>35.81818181818182</v>
      </c>
      <c r="S42" s="8">
        <f t="shared" si="29"/>
        <v>35.81818181818182</v>
      </c>
      <c r="T42" s="8">
        <f t="shared" si="29"/>
        <v>35.81818181818182</v>
      </c>
      <c r="U42" s="8">
        <f t="shared" si="29"/>
        <v>35.81818181818182</v>
      </c>
      <c r="V42" s="8">
        <f t="shared" si="29"/>
        <v>35.81818181818182</v>
      </c>
      <c r="W42" s="8">
        <f t="shared" si="29"/>
        <v>35.81818181818182</v>
      </c>
      <c r="X42" s="8">
        <f t="shared" si="29"/>
        <v>35.81818181818182</v>
      </c>
      <c r="Y42" s="8">
        <f t="shared" si="29"/>
        <v>35.81818181818182</v>
      </c>
      <c r="Z42" s="8">
        <f t="shared" si="29"/>
        <v>35.81818181818182</v>
      </c>
      <c r="AA42" s="8">
        <f t="shared" si="29"/>
        <v>35.81818181818182</v>
      </c>
      <c r="AB42" s="8">
        <f t="shared" si="29"/>
        <v>35.81818181818182</v>
      </c>
      <c r="AC42" s="8">
        <f t="shared" si="29"/>
        <v>35.81818181818182</v>
      </c>
      <c r="AD42" s="8">
        <f t="shared" si="29"/>
        <v>35.81818181818182</v>
      </c>
      <c r="AE42" s="8">
        <f t="shared" si="29"/>
        <v>35.81818181818182</v>
      </c>
      <c r="AF42" s="8">
        <f t="shared" si="29"/>
        <v>35.81818181818182</v>
      </c>
    </row>
    <row r="43" spans="1:32" s="8" customFormat="1" x14ac:dyDescent="0.25">
      <c r="B43" s="22"/>
    </row>
    <row r="44" spans="1:32" s="8" customFormat="1" x14ac:dyDescent="0.25">
      <c r="A44" s="8" t="s">
        <v>225</v>
      </c>
      <c r="B44" s="39">
        <v>0.05</v>
      </c>
    </row>
    <row r="45" spans="1:32" s="8" customFormat="1" x14ac:dyDescent="0.25"/>
    <row r="46" spans="1:32" s="8" customFormat="1" x14ac:dyDescent="0.25">
      <c r="A46" s="7" t="s">
        <v>15</v>
      </c>
      <c r="B46" s="10">
        <f>NPV(B44,C42:AF42)</f>
        <v>998.06379587270226</v>
      </c>
    </row>
    <row r="47" spans="1:32" s="8" customFormat="1" x14ac:dyDescent="0.25">
      <c r="A47" s="7"/>
      <c r="B47" s="22"/>
    </row>
    <row r="48" spans="1:32" s="8" customFormat="1" x14ac:dyDescent="0.25">
      <c r="A48" s="8" t="s">
        <v>83</v>
      </c>
      <c r="B48" s="11">
        <f>B46/(B22)</f>
        <v>1.4786130309225218</v>
      </c>
    </row>
    <row r="49" spans="1:27" s="8" customFormat="1" x14ac:dyDescent="0.25"/>
    <row r="50" spans="1:27" s="8" customFormat="1" x14ac:dyDescent="0.25">
      <c r="A50" s="7" t="s">
        <v>17</v>
      </c>
    </row>
    <row r="51" spans="1:27" s="8" customFormat="1" x14ac:dyDescent="0.25"/>
    <row r="52" spans="1:27" s="8" customFormat="1" x14ac:dyDescent="0.25">
      <c r="A52" s="7" t="s">
        <v>233</v>
      </c>
    </row>
    <row r="53" spans="1:27" s="8" customFormat="1" x14ac:dyDescent="0.25">
      <c r="C53" s="8">
        <v>2021</v>
      </c>
      <c r="D53" s="8">
        <f>C53+1</f>
        <v>2022</v>
      </c>
      <c r="E53" s="8">
        <f t="shared" ref="E53:H53" si="30">D53+1</f>
        <v>2023</v>
      </c>
      <c r="F53" s="8">
        <f t="shared" si="30"/>
        <v>2024</v>
      </c>
      <c r="G53" s="8">
        <f t="shared" si="30"/>
        <v>2025</v>
      </c>
      <c r="H53" s="8">
        <f t="shared" si="30"/>
        <v>2026</v>
      </c>
      <c r="I53" s="8">
        <f>H53+1</f>
        <v>2027</v>
      </c>
      <c r="J53" s="8">
        <f t="shared" ref="J53:AA53" si="31">I53+1</f>
        <v>2028</v>
      </c>
      <c r="K53" s="8">
        <f t="shared" si="31"/>
        <v>2029</v>
      </c>
      <c r="L53" s="8">
        <f t="shared" si="31"/>
        <v>2030</v>
      </c>
      <c r="M53" s="8">
        <f t="shared" si="31"/>
        <v>2031</v>
      </c>
      <c r="N53" s="8">
        <f t="shared" si="31"/>
        <v>2032</v>
      </c>
      <c r="O53" s="8">
        <f t="shared" si="31"/>
        <v>2033</v>
      </c>
      <c r="P53" s="8">
        <f t="shared" si="31"/>
        <v>2034</v>
      </c>
      <c r="Q53" s="8">
        <f t="shared" si="31"/>
        <v>2035</v>
      </c>
      <c r="R53" s="8">
        <f t="shared" si="31"/>
        <v>2036</v>
      </c>
      <c r="S53" s="8">
        <f t="shared" si="31"/>
        <v>2037</v>
      </c>
      <c r="T53" s="8">
        <f t="shared" si="31"/>
        <v>2038</v>
      </c>
      <c r="U53" s="8">
        <f t="shared" si="31"/>
        <v>2039</v>
      </c>
      <c r="V53" s="8">
        <f t="shared" si="31"/>
        <v>2040</v>
      </c>
      <c r="W53" s="8">
        <f t="shared" si="31"/>
        <v>2041</v>
      </c>
      <c r="X53" s="8">
        <f t="shared" si="31"/>
        <v>2042</v>
      </c>
      <c r="Y53" s="8">
        <f t="shared" si="31"/>
        <v>2043</v>
      </c>
      <c r="Z53" s="8">
        <f t="shared" si="31"/>
        <v>2044</v>
      </c>
      <c r="AA53" s="8">
        <f t="shared" si="31"/>
        <v>2045</v>
      </c>
    </row>
    <row r="54" spans="1:27" s="8" customFormat="1" x14ac:dyDescent="0.25">
      <c r="A54" s="8" t="s">
        <v>69</v>
      </c>
      <c r="B54" s="8">
        <v>98</v>
      </c>
    </row>
    <row r="55" spans="1:27" s="8" customFormat="1" x14ac:dyDescent="0.25">
      <c r="A55" s="8" t="s">
        <v>234</v>
      </c>
      <c r="B55" s="8">
        <f>B54-B56</f>
        <v>76.44</v>
      </c>
    </row>
    <row r="56" spans="1:27" s="8" customFormat="1" x14ac:dyDescent="0.25">
      <c r="A56" s="8" t="s">
        <v>235</v>
      </c>
      <c r="B56" s="8">
        <f>B54*0.22</f>
        <v>21.56</v>
      </c>
    </row>
    <row r="57" spans="1:27" s="8" customFormat="1" x14ac:dyDescent="0.25">
      <c r="A57" s="8" t="s">
        <v>236</v>
      </c>
      <c r="B57" s="41">
        <v>4.0000000000000001E-3</v>
      </c>
    </row>
    <row r="58" spans="1:27" s="8" customFormat="1" x14ac:dyDescent="0.25">
      <c r="A58" s="8" t="s">
        <v>237</v>
      </c>
      <c r="B58" s="41">
        <v>2.8000000000000001E-2</v>
      </c>
    </row>
    <row r="59" spans="1:27" s="8" customFormat="1" x14ac:dyDescent="0.25">
      <c r="B59" s="42" t="s">
        <v>238</v>
      </c>
    </row>
    <row r="60" spans="1:27" s="8" customFormat="1" x14ac:dyDescent="0.25">
      <c r="A60" s="8" t="s">
        <v>239</v>
      </c>
      <c r="K60" s="8">
        <v>0.41499999999999998</v>
      </c>
      <c r="L60" s="8">
        <v>0.41499999999999998</v>
      </c>
      <c r="M60" s="8">
        <v>0.41499999999999998</v>
      </c>
      <c r="N60" s="8">
        <f>0.415+1.244</f>
        <v>1.659</v>
      </c>
      <c r="O60" s="8">
        <f t="shared" ref="O60:Y60" si="32">0.415+1.244</f>
        <v>1.659</v>
      </c>
      <c r="P60" s="8">
        <f t="shared" si="32"/>
        <v>1.659</v>
      </c>
      <c r="Q60" s="8">
        <f t="shared" si="32"/>
        <v>1.659</v>
      </c>
      <c r="R60" s="8">
        <f t="shared" si="32"/>
        <v>1.659</v>
      </c>
      <c r="S60" s="8">
        <f t="shared" si="32"/>
        <v>1.659</v>
      </c>
      <c r="T60" s="8">
        <f t="shared" si="32"/>
        <v>1.659</v>
      </c>
      <c r="U60" s="8">
        <f t="shared" si="32"/>
        <v>1.659</v>
      </c>
      <c r="V60" s="8">
        <f t="shared" si="32"/>
        <v>1.659</v>
      </c>
      <c r="W60" s="8">
        <f t="shared" si="32"/>
        <v>1.659</v>
      </c>
      <c r="X60" s="8">
        <f t="shared" si="32"/>
        <v>1.659</v>
      </c>
      <c r="Y60" s="8">
        <f t="shared" si="32"/>
        <v>1.659</v>
      </c>
      <c r="Z60" s="8">
        <f>Z61</f>
        <v>0.40700000000000069</v>
      </c>
    </row>
    <row r="61" spans="1:27" s="8" customFormat="1" x14ac:dyDescent="0.25">
      <c r="A61" s="8" t="s">
        <v>240</v>
      </c>
      <c r="C61" s="8">
        <v>21.56</v>
      </c>
      <c r="D61" s="8">
        <v>21.56</v>
      </c>
      <c r="E61" s="8">
        <v>21.56</v>
      </c>
      <c r="F61" s="8">
        <v>21.56</v>
      </c>
      <c r="G61" s="8">
        <v>21.56</v>
      </c>
      <c r="H61" s="8">
        <v>21.56</v>
      </c>
      <c r="I61" s="8">
        <v>21.56</v>
      </c>
      <c r="J61" s="8">
        <v>21.56</v>
      </c>
      <c r="K61" s="8">
        <v>21.56</v>
      </c>
      <c r="L61" s="8">
        <f>K61-K60</f>
        <v>21.145</v>
      </c>
      <c r="M61" s="8">
        <f t="shared" ref="M61:Z61" si="33">L61-L60</f>
        <v>20.73</v>
      </c>
      <c r="N61" s="8">
        <f t="shared" si="33"/>
        <v>20.315000000000001</v>
      </c>
      <c r="O61" s="8">
        <f t="shared" si="33"/>
        <v>18.656000000000002</v>
      </c>
      <c r="P61" s="8">
        <f t="shared" si="33"/>
        <v>16.997000000000003</v>
      </c>
      <c r="Q61" s="8">
        <f t="shared" si="33"/>
        <v>15.338000000000003</v>
      </c>
      <c r="R61" s="8">
        <f t="shared" si="33"/>
        <v>13.679000000000002</v>
      </c>
      <c r="S61" s="8">
        <f t="shared" si="33"/>
        <v>12.020000000000001</v>
      </c>
      <c r="T61" s="8">
        <f t="shared" si="33"/>
        <v>10.361000000000001</v>
      </c>
      <c r="U61" s="8">
        <f t="shared" si="33"/>
        <v>8.702</v>
      </c>
      <c r="V61" s="8">
        <f t="shared" si="33"/>
        <v>7.0430000000000001</v>
      </c>
      <c r="W61" s="8">
        <f t="shared" si="33"/>
        <v>5.3840000000000003</v>
      </c>
      <c r="X61" s="8">
        <f t="shared" si="33"/>
        <v>3.7250000000000005</v>
      </c>
      <c r="Y61" s="8">
        <f t="shared" si="33"/>
        <v>2.0660000000000007</v>
      </c>
      <c r="Z61" s="8">
        <f t="shared" si="33"/>
        <v>0.40700000000000069</v>
      </c>
      <c r="AA61" s="8">
        <f>Z61-Z60</f>
        <v>0</v>
      </c>
    </row>
    <row r="62" spans="1:27" s="8" customFormat="1" x14ac:dyDescent="0.25">
      <c r="A62" s="8" t="s">
        <v>241</v>
      </c>
      <c r="C62" s="8">
        <f t="shared" ref="C62:E62" si="34">C61*0.004</f>
        <v>8.6239999999999997E-2</v>
      </c>
      <c r="D62" s="8">
        <f t="shared" si="34"/>
        <v>8.6239999999999997E-2</v>
      </c>
      <c r="E62" s="8">
        <f t="shared" si="34"/>
        <v>8.6239999999999997E-2</v>
      </c>
      <c r="F62" s="8">
        <f>F61*0.004</f>
        <v>8.6239999999999997E-2</v>
      </c>
      <c r="G62" s="8">
        <f t="shared" ref="G62:AA62" si="35">G61*0.004</f>
        <v>8.6239999999999997E-2</v>
      </c>
      <c r="H62" s="8">
        <f t="shared" si="35"/>
        <v>8.6239999999999997E-2</v>
      </c>
      <c r="I62" s="8">
        <f t="shared" si="35"/>
        <v>8.6239999999999997E-2</v>
      </c>
      <c r="J62" s="8">
        <f t="shared" si="35"/>
        <v>8.6239999999999997E-2</v>
      </c>
      <c r="K62" s="8">
        <f t="shared" si="35"/>
        <v>8.6239999999999997E-2</v>
      </c>
      <c r="L62" s="8">
        <f t="shared" si="35"/>
        <v>8.4580000000000002E-2</v>
      </c>
      <c r="M62" s="8">
        <f t="shared" si="35"/>
        <v>8.2920000000000008E-2</v>
      </c>
      <c r="N62" s="8">
        <f t="shared" si="35"/>
        <v>8.1260000000000013E-2</v>
      </c>
      <c r="O62" s="8">
        <f t="shared" si="35"/>
        <v>7.462400000000001E-2</v>
      </c>
      <c r="P62" s="8">
        <f t="shared" si="35"/>
        <v>6.7988000000000021E-2</v>
      </c>
      <c r="Q62" s="8">
        <f t="shared" si="35"/>
        <v>6.1352000000000011E-2</v>
      </c>
      <c r="R62" s="8">
        <f t="shared" si="35"/>
        <v>5.4716000000000008E-2</v>
      </c>
      <c r="S62" s="8">
        <f t="shared" si="35"/>
        <v>4.8080000000000005E-2</v>
      </c>
      <c r="T62" s="8">
        <f t="shared" si="35"/>
        <v>4.1444000000000002E-2</v>
      </c>
      <c r="U62" s="8">
        <f t="shared" si="35"/>
        <v>3.4807999999999999E-2</v>
      </c>
      <c r="V62" s="8">
        <f t="shared" si="35"/>
        <v>2.8172000000000003E-2</v>
      </c>
      <c r="W62" s="8">
        <f t="shared" si="35"/>
        <v>2.1536000000000003E-2</v>
      </c>
      <c r="X62" s="8">
        <f t="shared" si="35"/>
        <v>1.4900000000000002E-2</v>
      </c>
      <c r="Y62" s="8">
        <f t="shared" si="35"/>
        <v>8.2640000000000022E-3</v>
      </c>
      <c r="Z62" s="8">
        <f t="shared" si="35"/>
        <v>1.6280000000000027E-3</v>
      </c>
      <c r="AA62" s="8">
        <f t="shared" si="35"/>
        <v>0</v>
      </c>
    </row>
    <row r="63" spans="1:27" s="8" customFormat="1" x14ac:dyDescent="0.25"/>
    <row r="64" spans="1:27" s="8" customFormat="1" x14ac:dyDescent="0.25">
      <c r="A64" s="8" t="s">
        <v>242</v>
      </c>
      <c r="K64" s="8">
        <v>8.19</v>
      </c>
      <c r="L64" s="8">
        <v>8.19</v>
      </c>
      <c r="M64" s="8">
        <v>8.19</v>
      </c>
      <c r="N64" s="8">
        <f>8.19+1.47</f>
        <v>9.66</v>
      </c>
      <c r="O64" s="8">
        <f t="shared" ref="O64:Q64" si="36">8.19+1.47</f>
        <v>9.66</v>
      </c>
      <c r="P64" s="8">
        <f t="shared" si="36"/>
        <v>9.66</v>
      </c>
      <c r="Q64" s="8">
        <f t="shared" si="36"/>
        <v>9.66</v>
      </c>
      <c r="R64" s="8">
        <v>1.47</v>
      </c>
      <c r="S64" s="8">
        <v>1.47</v>
      </c>
      <c r="T64" s="8">
        <v>1.47</v>
      </c>
      <c r="U64" s="8">
        <v>1.47</v>
      </c>
      <c r="V64" s="8">
        <v>1.47</v>
      </c>
      <c r="W64" s="8">
        <v>1.47</v>
      </c>
      <c r="X64" s="8">
        <v>1.47</v>
      </c>
      <c r="Y64" s="8">
        <v>1.47</v>
      </c>
      <c r="Z64" s="8">
        <v>1.47</v>
      </c>
    </row>
    <row r="65" spans="1:27" s="8" customFormat="1" x14ac:dyDescent="0.25">
      <c r="A65" s="8" t="s">
        <v>243</v>
      </c>
      <c r="C65" s="8">
        <v>76.44</v>
      </c>
      <c r="D65" s="8">
        <v>76.44</v>
      </c>
      <c r="E65" s="8">
        <v>76.44</v>
      </c>
      <c r="F65" s="8">
        <v>76.44</v>
      </c>
      <c r="G65" s="8">
        <v>76.44</v>
      </c>
      <c r="H65" s="8">
        <v>76.44</v>
      </c>
      <c r="I65" s="8">
        <v>76.44</v>
      </c>
      <c r="J65" s="8">
        <v>76.44</v>
      </c>
      <c r="K65" s="8">
        <v>76.44</v>
      </c>
      <c r="L65" s="8">
        <f>K65-K64</f>
        <v>68.25</v>
      </c>
      <c r="M65" s="8">
        <f t="shared" ref="M65:Z65" si="37">L65-L64</f>
        <v>60.06</v>
      </c>
      <c r="N65" s="8">
        <f t="shared" si="37"/>
        <v>51.870000000000005</v>
      </c>
      <c r="O65" s="8">
        <f t="shared" si="37"/>
        <v>42.210000000000008</v>
      </c>
      <c r="P65" s="8">
        <f t="shared" si="37"/>
        <v>32.550000000000011</v>
      </c>
      <c r="Q65" s="8">
        <f t="shared" si="37"/>
        <v>22.890000000000011</v>
      </c>
      <c r="R65" s="8">
        <f t="shared" si="37"/>
        <v>13.230000000000011</v>
      </c>
      <c r="S65" s="8">
        <f t="shared" si="37"/>
        <v>11.76000000000001</v>
      </c>
      <c r="T65" s="8">
        <f t="shared" si="37"/>
        <v>10.29000000000001</v>
      </c>
      <c r="U65" s="8">
        <f t="shared" si="37"/>
        <v>8.8200000000000092</v>
      </c>
      <c r="V65" s="8">
        <f t="shared" si="37"/>
        <v>7.3500000000000094</v>
      </c>
      <c r="W65" s="8">
        <f t="shared" si="37"/>
        <v>5.8800000000000097</v>
      </c>
      <c r="X65" s="8">
        <f t="shared" si="37"/>
        <v>4.4100000000000099</v>
      </c>
      <c r="Y65" s="8">
        <f t="shared" si="37"/>
        <v>2.9400000000000102</v>
      </c>
      <c r="Z65" s="8">
        <f t="shared" si="37"/>
        <v>1.4700000000000102</v>
      </c>
      <c r="AA65" s="8">
        <v>0</v>
      </c>
    </row>
    <row r="66" spans="1:27" s="8" customFormat="1" x14ac:dyDescent="0.25">
      <c r="A66" s="8" t="s">
        <v>244</v>
      </c>
      <c r="C66" s="8">
        <f>C65*0.028</f>
        <v>2.14032</v>
      </c>
      <c r="D66" s="8">
        <f t="shared" ref="D66:AA66" si="38">D65*0.028</f>
        <v>2.14032</v>
      </c>
      <c r="E66" s="8">
        <f t="shared" si="38"/>
        <v>2.14032</v>
      </c>
      <c r="F66" s="8">
        <f t="shared" si="38"/>
        <v>2.14032</v>
      </c>
      <c r="G66" s="8">
        <f t="shared" si="38"/>
        <v>2.14032</v>
      </c>
      <c r="H66" s="8">
        <f t="shared" si="38"/>
        <v>2.14032</v>
      </c>
      <c r="I66" s="8">
        <f t="shared" si="38"/>
        <v>2.14032</v>
      </c>
      <c r="J66" s="8">
        <f t="shared" si="38"/>
        <v>2.14032</v>
      </c>
      <c r="K66" s="8">
        <f t="shared" si="38"/>
        <v>2.14032</v>
      </c>
      <c r="L66" s="8">
        <f t="shared" si="38"/>
        <v>1.911</v>
      </c>
      <c r="M66" s="8">
        <f t="shared" si="38"/>
        <v>1.6816800000000001</v>
      </c>
      <c r="N66" s="8">
        <f t="shared" si="38"/>
        <v>1.4523600000000001</v>
      </c>
      <c r="O66" s="8">
        <f t="shared" si="38"/>
        <v>1.1818800000000003</v>
      </c>
      <c r="P66" s="8">
        <f t="shared" si="38"/>
        <v>0.91140000000000032</v>
      </c>
      <c r="Q66" s="8">
        <f t="shared" si="38"/>
        <v>0.64092000000000038</v>
      </c>
      <c r="R66" s="8">
        <f t="shared" si="38"/>
        <v>0.37044000000000032</v>
      </c>
      <c r="S66" s="8">
        <f t="shared" si="38"/>
        <v>0.32928000000000029</v>
      </c>
      <c r="T66" s="8">
        <f t="shared" si="38"/>
        <v>0.28812000000000026</v>
      </c>
      <c r="U66" s="8">
        <f t="shared" si="38"/>
        <v>0.24696000000000026</v>
      </c>
      <c r="V66" s="8">
        <f t="shared" si="38"/>
        <v>0.20580000000000026</v>
      </c>
      <c r="W66" s="8">
        <f t="shared" si="38"/>
        <v>0.16464000000000029</v>
      </c>
      <c r="X66" s="8">
        <f t="shared" si="38"/>
        <v>0.12348000000000028</v>
      </c>
      <c r="Y66" s="8">
        <f t="shared" si="38"/>
        <v>8.2320000000000282E-2</v>
      </c>
      <c r="Z66" s="8">
        <f t="shared" si="38"/>
        <v>4.1160000000000287E-2</v>
      </c>
      <c r="AA66" s="8">
        <f t="shared" si="38"/>
        <v>0</v>
      </c>
    </row>
    <row r="67" spans="1:27" s="8" customFormat="1" x14ac:dyDescent="0.25"/>
    <row r="68" spans="1:27" s="8" customFormat="1" x14ac:dyDescent="0.25">
      <c r="B68" s="8" t="s">
        <v>13</v>
      </c>
      <c r="C68" s="8">
        <f>C60+C62+C64+C66</f>
        <v>2.2265600000000001</v>
      </c>
      <c r="D68" s="8">
        <f t="shared" ref="D68:AA68" si="39">D60+D62+D64+D66</f>
        <v>2.2265600000000001</v>
      </c>
      <c r="E68" s="8">
        <f t="shared" si="39"/>
        <v>2.2265600000000001</v>
      </c>
      <c r="F68" s="8">
        <f t="shared" si="39"/>
        <v>2.2265600000000001</v>
      </c>
      <c r="G68" s="8">
        <f t="shared" si="39"/>
        <v>2.2265600000000001</v>
      </c>
      <c r="H68" s="8">
        <f t="shared" si="39"/>
        <v>2.2265600000000001</v>
      </c>
      <c r="I68" s="8">
        <f t="shared" si="39"/>
        <v>2.2265600000000001</v>
      </c>
      <c r="J68" s="8">
        <f t="shared" si="39"/>
        <v>2.2265600000000001</v>
      </c>
      <c r="K68" s="8">
        <f t="shared" si="39"/>
        <v>10.83156</v>
      </c>
      <c r="L68" s="8">
        <f t="shared" si="39"/>
        <v>10.600579999999999</v>
      </c>
      <c r="M68" s="8">
        <f t="shared" si="39"/>
        <v>10.3696</v>
      </c>
      <c r="N68" s="8">
        <f t="shared" si="39"/>
        <v>12.85262</v>
      </c>
      <c r="O68" s="8">
        <f t="shared" si="39"/>
        <v>12.575504</v>
      </c>
      <c r="P68" s="8">
        <f t="shared" si="39"/>
        <v>12.298388000000001</v>
      </c>
      <c r="Q68" s="8">
        <f t="shared" si="39"/>
        <v>12.021272</v>
      </c>
      <c r="R68" s="8">
        <f t="shared" si="39"/>
        <v>3.5541560000000003</v>
      </c>
      <c r="S68" s="8">
        <f t="shared" si="39"/>
        <v>3.5063600000000004</v>
      </c>
      <c r="T68" s="8">
        <f t="shared" si="39"/>
        <v>3.458564</v>
      </c>
      <c r="U68" s="8">
        <f t="shared" si="39"/>
        <v>3.410768</v>
      </c>
      <c r="V68" s="8">
        <f t="shared" si="39"/>
        <v>3.3629720000000005</v>
      </c>
      <c r="W68" s="8">
        <f t="shared" si="39"/>
        <v>3.3151760000000001</v>
      </c>
      <c r="X68" s="8">
        <f t="shared" si="39"/>
        <v>3.2673800000000002</v>
      </c>
      <c r="Y68" s="8">
        <f t="shared" si="39"/>
        <v>3.2195840000000002</v>
      </c>
      <c r="Z68" s="8">
        <f t="shared" si="39"/>
        <v>1.9197880000000009</v>
      </c>
      <c r="AA68" s="8">
        <f t="shared" si="39"/>
        <v>0</v>
      </c>
    </row>
    <row r="69" spans="1:27" s="8" customFormat="1" x14ac:dyDescent="0.25"/>
    <row r="70" spans="1:27" s="8" customFormat="1" x14ac:dyDescent="0.25">
      <c r="A70" s="8" t="s">
        <v>225</v>
      </c>
      <c r="B70" s="39">
        <v>0.05</v>
      </c>
    </row>
    <row r="71" spans="1:27" s="8" customFormat="1" x14ac:dyDescent="0.25"/>
    <row r="72" spans="1:27" s="8" customFormat="1" x14ac:dyDescent="0.25">
      <c r="A72" s="7" t="s">
        <v>15</v>
      </c>
      <c r="B72" s="10">
        <f>NPV(B70,C68:Z68)</f>
        <v>70.926137802744833</v>
      </c>
    </row>
    <row r="73" spans="1:27" s="8" customFormat="1" x14ac:dyDescent="0.25"/>
    <row r="74" spans="1:27" s="8" customFormat="1" x14ac:dyDescent="0.25">
      <c r="A74" s="8" t="s">
        <v>83</v>
      </c>
      <c r="B74" s="11">
        <f>B72/B54</f>
        <v>0.72373610002800848</v>
      </c>
      <c r="E74" s="22"/>
    </row>
    <row r="75" spans="1:27" s="8" customFormat="1" x14ac:dyDescent="0.25"/>
    <row r="76" spans="1:27" s="8" customFormat="1" x14ac:dyDescent="0.25">
      <c r="A76" s="7" t="s">
        <v>245</v>
      </c>
      <c r="D76" s="8">
        <v>2017</v>
      </c>
      <c r="E76" s="8">
        <f>D76+1</f>
        <v>2018</v>
      </c>
      <c r="F76" s="8">
        <f t="shared" ref="F76:W76" si="40">E76+1</f>
        <v>2019</v>
      </c>
      <c r="G76" s="8">
        <f t="shared" si="40"/>
        <v>2020</v>
      </c>
      <c r="H76" s="8">
        <f t="shared" si="40"/>
        <v>2021</v>
      </c>
      <c r="I76" s="8">
        <f t="shared" si="40"/>
        <v>2022</v>
      </c>
      <c r="J76" s="8">
        <f t="shared" si="40"/>
        <v>2023</v>
      </c>
      <c r="K76" s="8">
        <f t="shared" si="40"/>
        <v>2024</v>
      </c>
      <c r="L76" s="8">
        <f t="shared" si="40"/>
        <v>2025</v>
      </c>
      <c r="M76" s="8">
        <f t="shared" si="40"/>
        <v>2026</v>
      </c>
      <c r="N76" s="8">
        <f t="shared" si="40"/>
        <v>2027</v>
      </c>
      <c r="O76" s="8">
        <f t="shared" si="40"/>
        <v>2028</v>
      </c>
      <c r="P76" s="8">
        <f t="shared" si="40"/>
        <v>2029</v>
      </c>
      <c r="Q76" s="8">
        <f t="shared" si="40"/>
        <v>2030</v>
      </c>
      <c r="R76" s="8">
        <f t="shared" si="40"/>
        <v>2031</v>
      </c>
      <c r="S76" s="8">
        <f t="shared" si="40"/>
        <v>2032</v>
      </c>
      <c r="T76" s="8">
        <f t="shared" si="40"/>
        <v>2033</v>
      </c>
      <c r="U76" s="8">
        <f t="shared" si="40"/>
        <v>2034</v>
      </c>
      <c r="V76" s="8">
        <f t="shared" si="40"/>
        <v>2035</v>
      </c>
      <c r="W76" s="8">
        <f t="shared" si="40"/>
        <v>2036</v>
      </c>
    </row>
    <row r="77" spans="1:27" s="8" customFormat="1" x14ac:dyDescent="0.25">
      <c r="A77" s="7" t="s">
        <v>253</v>
      </c>
    </row>
    <row r="78" spans="1:27" s="8" customFormat="1" x14ac:dyDescent="0.25">
      <c r="A78" s="8" t="s">
        <v>246</v>
      </c>
      <c r="B78" s="8" t="s">
        <v>70</v>
      </c>
      <c r="D78" s="8">
        <f>C80*0.02</f>
        <v>4.7</v>
      </c>
      <c r="E78" s="8">
        <f t="shared" ref="E78:R78" si="41">D80*0.02</f>
        <v>4.7</v>
      </c>
      <c r="F78" s="8">
        <f t="shared" si="41"/>
        <v>4.7</v>
      </c>
      <c r="G78" s="8">
        <f t="shared" si="41"/>
        <v>4.7</v>
      </c>
      <c r="H78" s="8">
        <f t="shared" si="41"/>
        <v>4.7</v>
      </c>
      <c r="I78" s="8">
        <f t="shared" si="41"/>
        <v>4.7</v>
      </c>
      <c r="J78" s="8">
        <f t="shared" si="41"/>
        <v>4.2300000000000004</v>
      </c>
      <c r="K78" s="8">
        <f t="shared" si="41"/>
        <v>3.7600000000000002</v>
      </c>
      <c r="L78" s="8">
        <f t="shared" si="41"/>
        <v>3.29</v>
      </c>
      <c r="M78" s="8">
        <f t="shared" si="41"/>
        <v>2.82</v>
      </c>
      <c r="N78" s="8">
        <f t="shared" si="41"/>
        <v>2.35</v>
      </c>
      <c r="O78" s="8">
        <f t="shared" si="41"/>
        <v>1.8800000000000001</v>
      </c>
      <c r="P78" s="8">
        <f t="shared" si="41"/>
        <v>1.41</v>
      </c>
      <c r="Q78" s="8">
        <f t="shared" si="41"/>
        <v>0.94000000000000006</v>
      </c>
      <c r="R78" s="8">
        <f t="shared" si="41"/>
        <v>0.47000000000000003</v>
      </c>
    </row>
    <row r="79" spans="1:27" s="8" customFormat="1" x14ac:dyDescent="0.25">
      <c r="B79" s="8" t="s">
        <v>247</v>
      </c>
      <c r="I79" s="8">
        <v>23.5</v>
      </c>
      <c r="J79" s="8">
        <v>23.5</v>
      </c>
      <c r="K79" s="8">
        <v>23.5</v>
      </c>
      <c r="L79" s="8">
        <v>23.5</v>
      </c>
      <c r="M79" s="8">
        <v>23.5</v>
      </c>
      <c r="N79" s="8">
        <v>23.5</v>
      </c>
      <c r="O79" s="8">
        <v>23.5</v>
      </c>
      <c r="P79" s="8">
        <v>23.5</v>
      </c>
      <c r="Q79" s="8">
        <v>23.5</v>
      </c>
      <c r="R79" s="8">
        <v>23.5</v>
      </c>
    </row>
    <row r="80" spans="1:27" s="8" customFormat="1" x14ac:dyDescent="0.25">
      <c r="B80" s="8" t="s">
        <v>248</v>
      </c>
      <c r="C80" s="8">
        <v>235</v>
      </c>
      <c r="D80" s="8">
        <f>C80-D79</f>
        <v>235</v>
      </c>
      <c r="E80" s="8">
        <f t="shared" ref="E80:R80" si="42">D80-E79</f>
        <v>235</v>
      </c>
      <c r="F80" s="8">
        <f t="shared" si="42"/>
        <v>235</v>
      </c>
      <c r="G80" s="8">
        <f t="shared" si="42"/>
        <v>235</v>
      </c>
      <c r="H80" s="8">
        <f t="shared" si="42"/>
        <v>235</v>
      </c>
      <c r="I80" s="8">
        <f t="shared" si="42"/>
        <v>211.5</v>
      </c>
      <c r="J80" s="8">
        <f t="shared" si="42"/>
        <v>188</v>
      </c>
      <c r="K80" s="8">
        <f t="shared" si="42"/>
        <v>164.5</v>
      </c>
      <c r="L80" s="8">
        <f t="shared" si="42"/>
        <v>141</v>
      </c>
      <c r="M80" s="8">
        <f t="shared" si="42"/>
        <v>117.5</v>
      </c>
      <c r="N80" s="8">
        <f t="shared" si="42"/>
        <v>94</v>
      </c>
      <c r="O80" s="8">
        <f t="shared" si="42"/>
        <v>70.5</v>
      </c>
      <c r="P80" s="8">
        <f t="shared" si="42"/>
        <v>47</v>
      </c>
      <c r="Q80" s="8">
        <f t="shared" si="42"/>
        <v>23.5</v>
      </c>
      <c r="R80" s="8">
        <f t="shared" si="42"/>
        <v>0</v>
      </c>
    </row>
    <row r="81" spans="1:23" s="8" customFormat="1" x14ac:dyDescent="0.25">
      <c r="A81" s="8" t="s">
        <v>249</v>
      </c>
      <c r="B81" s="8" t="s">
        <v>70</v>
      </c>
      <c r="D81" s="8">
        <f>C83*0.03</f>
        <v>2.9699999999999998</v>
      </c>
      <c r="E81" s="8">
        <f t="shared" ref="E81:R81" si="43">D83*0.03</f>
        <v>2.9699999999999998</v>
      </c>
      <c r="F81" s="8">
        <f t="shared" si="43"/>
        <v>2.9699999999999998</v>
      </c>
      <c r="G81" s="8">
        <f t="shared" si="43"/>
        <v>2.9699999999999998</v>
      </c>
      <c r="H81" s="8">
        <f t="shared" si="43"/>
        <v>2.9699999999999998</v>
      </c>
      <c r="I81" s="8">
        <f t="shared" si="43"/>
        <v>2.9699999999999998</v>
      </c>
      <c r="J81" s="8">
        <f t="shared" si="43"/>
        <v>2.6729999999999996</v>
      </c>
      <c r="K81" s="8">
        <f t="shared" si="43"/>
        <v>2.3759999999999994</v>
      </c>
      <c r="L81" s="8">
        <f t="shared" si="43"/>
        <v>2.0789999999999993</v>
      </c>
      <c r="M81" s="8">
        <f t="shared" si="43"/>
        <v>1.7819999999999994</v>
      </c>
      <c r="N81" s="8">
        <f t="shared" si="43"/>
        <v>1.4849999999999994</v>
      </c>
      <c r="O81" s="8">
        <f t="shared" si="43"/>
        <v>1.1879999999999995</v>
      </c>
      <c r="P81" s="8">
        <f t="shared" si="43"/>
        <v>0.89099999999999968</v>
      </c>
      <c r="Q81" s="8">
        <f t="shared" si="43"/>
        <v>0.59399999999999964</v>
      </c>
      <c r="R81" s="8">
        <f t="shared" si="43"/>
        <v>0.29699999999999965</v>
      </c>
    </row>
    <row r="82" spans="1:23" s="8" customFormat="1" x14ac:dyDescent="0.25">
      <c r="B82" s="8" t="s">
        <v>247</v>
      </c>
      <c r="I82" s="8">
        <v>9.9</v>
      </c>
      <c r="J82" s="8">
        <v>9.9</v>
      </c>
      <c r="K82" s="8">
        <v>9.9</v>
      </c>
      <c r="L82" s="8">
        <v>9.9</v>
      </c>
      <c r="M82" s="8">
        <v>9.9</v>
      </c>
      <c r="N82" s="8">
        <v>9.9</v>
      </c>
      <c r="O82" s="8">
        <v>9.9</v>
      </c>
      <c r="P82" s="8">
        <v>9.9</v>
      </c>
      <c r="Q82" s="8">
        <v>9.9</v>
      </c>
      <c r="R82" s="8">
        <v>9.9</v>
      </c>
    </row>
    <row r="83" spans="1:23" s="8" customFormat="1" x14ac:dyDescent="0.25">
      <c r="B83" s="8" t="s">
        <v>248</v>
      </c>
      <c r="C83" s="8">
        <v>99</v>
      </c>
      <c r="D83" s="8">
        <f>C83-D82</f>
        <v>99</v>
      </c>
      <c r="E83" s="8">
        <f t="shared" ref="E83:R83" si="44">D83-E82</f>
        <v>99</v>
      </c>
      <c r="F83" s="8">
        <f t="shared" si="44"/>
        <v>99</v>
      </c>
      <c r="G83" s="8">
        <f t="shared" si="44"/>
        <v>99</v>
      </c>
      <c r="H83" s="8">
        <f t="shared" si="44"/>
        <v>99</v>
      </c>
      <c r="I83" s="8">
        <f t="shared" si="44"/>
        <v>89.1</v>
      </c>
      <c r="J83" s="8">
        <f t="shared" si="44"/>
        <v>79.199999999999989</v>
      </c>
      <c r="K83" s="8">
        <f t="shared" si="44"/>
        <v>69.299999999999983</v>
      </c>
      <c r="L83" s="8">
        <f t="shared" si="44"/>
        <v>59.399999999999984</v>
      </c>
      <c r="M83" s="8">
        <f t="shared" si="44"/>
        <v>49.499999999999986</v>
      </c>
      <c r="N83" s="8">
        <f t="shared" si="44"/>
        <v>39.599999999999987</v>
      </c>
      <c r="O83" s="8">
        <f t="shared" si="44"/>
        <v>29.699999999999989</v>
      </c>
      <c r="P83" s="8">
        <f t="shared" si="44"/>
        <v>19.79999999999999</v>
      </c>
      <c r="Q83" s="8">
        <f t="shared" si="44"/>
        <v>9.8999999999999897</v>
      </c>
      <c r="R83" s="8">
        <f t="shared" si="44"/>
        <v>0</v>
      </c>
    </row>
    <row r="84" spans="1:23" s="8" customFormat="1" x14ac:dyDescent="0.25">
      <c r="A84" s="8" t="s">
        <v>250</v>
      </c>
      <c r="B84" s="8" t="s">
        <v>70</v>
      </c>
      <c r="D84" s="8">
        <f>C86*0.04264</f>
        <v>2.7715999999999998</v>
      </c>
      <c r="E84" s="8">
        <f t="shared" ref="E84:Q84" si="45">D86*0.04264</f>
        <v>2.7715999999999998</v>
      </c>
      <c r="F84" s="8">
        <f t="shared" si="45"/>
        <v>2.7715999999999998</v>
      </c>
      <c r="G84" s="8">
        <f t="shared" si="45"/>
        <v>2.7715999999999998</v>
      </c>
      <c r="H84" s="8">
        <f t="shared" si="45"/>
        <v>2.5196363636363635</v>
      </c>
      <c r="I84" s="8">
        <f t="shared" si="45"/>
        <v>2.2676727272727275</v>
      </c>
      <c r="J84" s="8">
        <f t="shared" si="45"/>
        <v>2.0157090909090911</v>
      </c>
      <c r="K84" s="8">
        <f t="shared" si="45"/>
        <v>1.7637454545454549</v>
      </c>
      <c r="L84" s="8">
        <f t="shared" si="45"/>
        <v>1.5117818181818186</v>
      </c>
      <c r="M84" s="8">
        <f t="shared" si="45"/>
        <v>1.2598181818181822</v>
      </c>
      <c r="N84" s="8">
        <f t="shared" si="45"/>
        <v>1.0078545454545458</v>
      </c>
      <c r="O84" s="8">
        <f t="shared" si="45"/>
        <v>0.7558909090909095</v>
      </c>
      <c r="P84" s="8">
        <f t="shared" si="45"/>
        <v>0.50392727272727311</v>
      </c>
      <c r="Q84" s="8">
        <f t="shared" si="45"/>
        <v>0.25196363636363672</v>
      </c>
    </row>
    <row r="85" spans="1:23" s="8" customFormat="1" x14ac:dyDescent="0.25">
      <c r="B85" s="8" t="s">
        <v>247</v>
      </c>
      <c r="G85" s="8">
        <f>65/11</f>
        <v>5.9090909090909092</v>
      </c>
      <c r="H85" s="8">
        <f t="shared" ref="H85:Q85" si="46">65/11</f>
        <v>5.9090909090909092</v>
      </c>
      <c r="I85" s="8">
        <f t="shared" si="46"/>
        <v>5.9090909090909092</v>
      </c>
      <c r="J85" s="8">
        <f t="shared" si="46"/>
        <v>5.9090909090909092</v>
      </c>
      <c r="K85" s="8">
        <f t="shared" si="46"/>
        <v>5.9090909090909092</v>
      </c>
      <c r="L85" s="8">
        <f t="shared" si="46"/>
        <v>5.9090909090909092</v>
      </c>
      <c r="M85" s="8">
        <f t="shared" si="46"/>
        <v>5.9090909090909092</v>
      </c>
      <c r="N85" s="8">
        <f t="shared" si="46"/>
        <v>5.9090909090909092</v>
      </c>
      <c r="O85" s="8">
        <f t="shared" si="46"/>
        <v>5.9090909090909092</v>
      </c>
      <c r="P85" s="8">
        <f t="shared" si="46"/>
        <v>5.9090909090909092</v>
      </c>
      <c r="Q85" s="8">
        <f t="shared" si="46"/>
        <v>5.9090909090909092</v>
      </c>
    </row>
    <row r="86" spans="1:23" s="8" customFormat="1" x14ac:dyDescent="0.25">
      <c r="B86" s="8" t="s">
        <v>248</v>
      </c>
      <c r="C86" s="8">
        <v>65</v>
      </c>
      <c r="D86" s="8">
        <f>C86-D85</f>
        <v>65</v>
      </c>
      <c r="E86" s="8">
        <f t="shared" ref="E86:P86" si="47">D86-E85</f>
        <v>65</v>
      </c>
      <c r="F86" s="8">
        <f t="shared" si="47"/>
        <v>65</v>
      </c>
      <c r="G86" s="8">
        <f t="shared" si="47"/>
        <v>59.090909090909093</v>
      </c>
      <c r="H86" s="8">
        <f t="shared" si="47"/>
        <v>53.181818181818187</v>
      </c>
      <c r="I86" s="8">
        <f t="shared" si="47"/>
        <v>47.27272727272728</v>
      </c>
      <c r="J86" s="8">
        <f t="shared" si="47"/>
        <v>41.363636363636374</v>
      </c>
      <c r="K86" s="8">
        <f t="shared" si="47"/>
        <v>35.454545454545467</v>
      </c>
      <c r="L86" s="8">
        <f t="shared" si="47"/>
        <v>29.545454545454557</v>
      </c>
      <c r="M86" s="8">
        <f t="shared" si="47"/>
        <v>23.636363636363647</v>
      </c>
      <c r="N86" s="8">
        <f t="shared" si="47"/>
        <v>17.727272727272737</v>
      </c>
      <c r="O86" s="8">
        <f t="shared" si="47"/>
        <v>11.818181818181827</v>
      </c>
      <c r="P86" s="8">
        <f t="shared" si="47"/>
        <v>5.9090909090909181</v>
      </c>
      <c r="Q86" s="8">
        <v>0</v>
      </c>
    </row>
    <row r="87" spans="1:23" s="8" customFormat="1" x14ac:dyDescent="0.25">
      <c r="A87" s="8" t="s">
        <v>251</v>
      </c>
      <c r="B87" s="8" t="s">
        <v>70</v>
      </c>
      <c r="D87" s="8">
        <v>0</v>
      </c>
      <c r="E87" s="8">
        <v>0</v>
      </c>
      <c r="F87" s="8">
        <v>0</v>
      </c>
      <c r="G87" s="8">
        <v>0</v>
      </c>
      <c r="H87" s="8">
        <v>0</v>
      </c>
      <c r="I87" s="8">
        <v>0</v>
      </c>
      <c r="J87" s="8">
        <v>0</v>
      </c>
      <c r="K87" s="8">
        <v>0</v>
      </c>
      <c r="L87" s="8">
        <v>0</v>
      </c>
      <c r="M87" s="8">
        <v>0</v>
      </c>
      <c r="N87" s="8">
        <v>0</v>
      </c>
      <c r="O87" s="8">
        <v>0</v>
      </c>
      <c r="P87" s="8">
        <v>0</v>
      </c>
      <c r="Q87" s="8">
        <v>0</v>
      </c>
      <c r="R87" s="8">
        <v>0</v>
      </c>
      <c r="S87" s="8">
        <v>0</v>
      </c>
      <c r="T87" s="8">
        <v>0</v>
      </c>
      <c r="U87" s="8">
        <v>0</v>
      </c>
      <c r="V87" s="8">
        <v>0</v>
      </c>
      <c r="W87" s="8">
        <v>0</v>
      </c>
    </row>
    <row r="88" spans="1:23" s="8" customFormat="1" x14ac:dyDescent="0.25">
      <c r="B88" s="8" t="s">
        <v>247</v>
      </c>
      <c r="N88" s="8">
        <v>0.5</v>
      </c>
      <c r="O88" s="8">
        <v>0.5</v>
      </c>
      <c r="P88" s="8">
        <v>0.5</v>
      </c>
      <c r="Q88" s="8">
        <v>0.5</v>
      </c>
      <c r="R88" s="8">
        <v>0.5</v>
      </c>
      <c r="S88" s="8">
        <v>0.5</v>
      </c>
      <c r="T88" s="8">
        <v>0.5</v>
      </c>
      <c r="U88" s="8">
        <v>0.5</v>
      </c>
      <c r="V88" s="8">
        <v>0.5</v>
      </c>
      <c r="W88" s="8">
        <v>0.5</v>
      </c>
    </row>
    <row r="89" spans="1:23" s="8" customFormat="1" x14ac:dyDescent="0.25">
      <c r="B89" s="8" t="s">
        <v>248</v>
      </c>
      <c r="C89" s="8">
        <v>5</v>
      </c>
      <c r="D89" s="8">
        <v>5</v>
      </c>
      <c r="E89" s="8">
        <v>5</v>
      </c>
      <c r="F89" s="8">
        <v>5</v>
      </c>
      <c r="G89" s="8">
        <v>5</v>
      </c>
      <c r="H89" s="8">
        <v>5</v>
      </c>
      <c r="I89" s="8">
        <v>5</v>
      </c>
      <c r="J89" s="8">
        <v>5</v>
      </c>
      <c r="K89" s="8">
        <v>5</v>
      </c>
      <c r="L89" s="8">
        <v>5</v>
      </c>
      <c r="M89" s="8">
        <v>5</v>
      </c>
      <c r="N89" s="8">
        <f t="shared" ref="N89:W89" si="48">M89-N88</f>
        <v>4.5</v>
      </c>
      <c r="O89" s="8">
        <f t="shared" si="48"/>
        <v>4</v>
      </c>
      <c r="P89" s="8">
        <f t="shared" si="48"/>
        <v>3.5</v>
      </c>
      <c r="Q89" s="8">
        <f t="shared" si="48"/>
        <v>3</v>
      </c>
      <c r="R89" s="8">
        <f t="shared" si="48"/>
        <v>2.5</v>
      </c>
      <c r="S89" s="8">
        <f t="shared" si="48"/>
        <v>2</v>
      </c>
      <c r="T89" s="8">
        <f t="shared" si="48"/>
        <v>1.5</v>
      </c>
      <c r="U89" s="8">
        <f t="shared" si="48"/>
        <v>1</v>
      </c>
      <c r="V89" s="8">
        <f t="shared" si="48"/>
        <v>0.5</v>
      </c>
      <c r="W89" s="8">
        <f t="shared" si="48"/>
        <v>0</v>
      </c>
    </row>
    <row r="90" spans="1:23" s="8" customFormat="1" x14ac:dyDescent="0.25">
      <c r="A90" s="8" t="s">
        <v>252</v>
      </c>
      <c r="B90" s="8" t="s">
        <v>70</v>
      </c>
      <c r="D90" s="8">
        <f>C92*0.02</f>
        <v>0.96</v>
      </c>
      <c r="E90" s="8">
        <f t="shared" ref="E90:W90" si="49">D92*0.02</f>
        <v>0.96</v>
      </c>
      <c r="F90" s="8">
        <f t="shared" si="49"/>
        <v>0.96</v>
      </c>
      <c r="G90" s="8">
        <f t="shared" si="49"/>
        <v>0.96</v>
      </c>
      <c r="H90" s="8">
        <f t="shared" si="49"/>
        <v>0.96</v>
      </c>
      <c r="I90" s="8">
        <f t="shared" si="49"/>
        <v>0.96</v>
      </c>
      <c r="J90" s="8">
        <f t="shared" si="49"/>
        <v>0.89599999999999991</v>
      </c>
      <c r="K90" s="8">
        <f t="shared" si="49"/>
        <v>0.83199999999999985</v>
      </c>
      <c r="L90" s="8">
        <f t="shared" si="49"/>
        <v>0.76799999999999979</v>
      </c>
      <c r="M90" s="8">
        <f t="shared" si="49"/>
        <v>0.70399999999999974</v>
      </c>
      <c r="N90" s="8">
        <f t="shared" si="49"/>
        <v>0.63999999999999979</v>
      </c>
      <c r="O90" s="8">
        <f t="shared" si="49"/>
        <v>0.57599999999999985</v>
      </c>
      <c r="P90" s="8">
        <f t="shared" si="49"/>
        <v>0.51199999999999979</v>
      </c>
      <c r="Q90" s="8">
        <f t="shared" si="49"/>
        <v>0.44799999999999984</v>
      </c>
      <c r="R90" s="8">
        <f t="shared" si="49"/>
        <v>0.38399999999999984</v>
      </c>
      <c r="S90" s="8">
        <f t="shared" si="49"/>
        <v>0.31999999999999984</v>
      </c>
      <c r="T90" s="8">
        <f t="shared" si="49"/>
        <v>0.25599999999999989</v>
      </c>
      <c r="U90" s="8">
        <f t="shared" si="49"/>
        <v>0.19199999999999989</v>
      </c>
      <c r="V90" s="8">
        <f t="shared" si="49"/>
        <v>0.12799999999999989</v>
      </c>
      <c r="W90" s="8">
        <f t="shared" si="49"/>
        <v>6.3999999999999876E-2</v>
      </c>
    </row>
    <row r="91" spans="1:23" s="8" customFormat="1" x14ac:dyDescent="0.25">
      <c r="B91" s="8" t="s">
        <v>247</v>
      </c>
      <c r="I91" s="8">
        <f>48/15</f>
        <v>3.2</v>
      </c>
      <c r="J91" s="8">
        <f t="shared" ref="J91:W91" si="50">48/15</f>
        <v>3.2</v>
      </c>
      <c r="K91" s="8">
        <f t="shared" si="50"/>
        <v>3.2</v>
      </c>
      <c r="L91" s="8">
        <f t="shared" si="50"/>
        <v>3.2</v>
      </c>
      <c r="M91" s="8">
        <f t="shared" si="50"/>
        <v>3.2</v>
      </c>
      <c r="N91" s="8">
        <f t="shared" si="50"/>
        <v>3.2</v>
      </c>
      <c r="O91" s="8">
        <f t="shared" si="50"/>
        <v>3.2</v>
      </c>
      <c r="P91" s="8">
        <f t="shared" si="50"/>
        <v>3.2</v>
      </c>
      <c r="Q91" s="8">
        <f t="shared" si="50"/>
        <v>3.2</v>
      </c>
      <c r="R91" s="8">
        <f t="shared" si="50"/>
        <v>3.2</v>
      </c>
      <c r="S91" s="8">
        <f t="shared" si="50"/>
        <v>3.2</v>
      </c>
      <c r="T91" s="8">
        <f t="shared" si="50"/>
        <v>3.2</v>
      </c>
      <c r="U91" s="8">
        <f t="shared" si="50"/>
        <v>3.2</v>
      </c>
      <c r="V91" s="8">
        <f t="shared" si="50"/>
        <v>3.2</v>
      </c>
      <c r="W91" s="8">
        <f t="shared" si="50"/>
        <v>3.2</v>
      </c>
    </row>
    <row r="92" spans="1:23" s="8" customFormat="1" x14ac:dyDescent="0.25">
      <c r="B92" s="8" t="s">
        <v>248</v>
      </c>
      <c r="C92" s="8">
        <v>48</v>
      </c>
      <c r="D92" s="8">
        <v>48</v>
      </c>
      <c r="E92" s="8">
        <v>48</v>
      </c>
      <c r="F92" s="8">
        <v>48</v>
      </c>
      <c r="G92" s="8">
        <v>48</v>
      </c>
      <c r="H92" s="8">
        <v>48</v>
      </c>
      <c r="I92" s="8">
        <f t="shared" ref="I92:V92" si="51">H92-I91</f>
        <v>44.8</v>
      </c>
      <c r="J92" s="8">
        <f t="shared" si="51"/>
        <v>41.599999999999994</v>
      </c>
      <c r="K92" s="8">
        <f t="shared" si="51"/>
        <v>38.399999999999991</v>
      </c>
      <c r="L92" s="8">
        <f t="shared" si="51"/>
        <v>35.199999999999989</v>
      </c>
      <c r="M92" s="8">
        <f t="shared" si="51"/>
        <v>31.999999999999989</v>
      </c>
      <c r="N92" s="8">
        <f t="shared" si="51"/>
        <v>28.79999999999999</v>
      </c>
      <c r="O92" s="8">
        <f t="shared" si="51"/>
        <v>25.599999999999991</v>
      </c>
      <c r="P92" s="8">
        <f t="shared" si="51"/>
        <v>22.399999999999991</v>
      </c>
      <c r="Q92" s="8">
        <f t="shared" si="51"/>
        <v>19.199999999999992</v>
      </c>
      <c r="R92" s="8">
        <f t="shared" si="51"/>
        <v>15.999999999999993</v>
      </c>
      <c r="S92" s="8">
        <f t="shared" si="51"/>
        <v>12.799999999999994</v>
      </c>
      <c r="T92" s="8">
        <f t="shared" si="51"/>
        <v>9.5999999999999943</v>
      </c>
      <c r="U92" s="8">
        <f t="shared" si="51"/>
        <v>6.3999999999999941</v>
      </c>
      <c r="V92" s="8">
        <f t="shared" si="51"/>
        <v>3.199999999999994</v>
      </c>
      <c r="W92" s="8">
        <v>0</v>
      </c>
    </row>
    <row r="93" spans="1:23" s="8" customFormat="1" x14ac:dyDescent="0.25"/>
    <row r="94" spans="1:23" s="8" customFormat="1" x14ac:dyDescent="0.25">
      <c r="C94" s="8">
        <f>SUM(C80:C92)</f>
        <v>452</v>
      </c>
    </row>
    <row r="95" spans="1:23" s="8" customFormat="1" x14ac:dyDescent="0.25"/>
    <row r="96" spans="1:23" s="8" customFormat="1" x14ac:dyDescent="0.25">
      <c r="A96" s="7"/>
    </row>
    <row r="97" spans="1:46" s="8" customFormat="1" x14ac:dyDescent="0.25">
      <c r="A97" s="8" t="s">
        <v>13</v>
      </c>
      <c r="D97" s="8">
        <f>D78+D79+D81+D82+D84+D85+D87+D88+D90+D91</f>
        <v>11.401599999999998</v>
      </c>
      <c r="E97" s="8">
        <f t="shared" ref="E97:W97" si="52">E78+E79+E81+E82+E84+E85+E87+E88+E90+E91</f>
        <v>11.401599999999998</v>
      </c>
      <c r="F97" s="8">
        <f t="shared" si="52"/>
        <v>11.401599999999998</v>
      </c>
      <c r="G97" s="8">
        <f t="shared" si="52"/>
        <v>17.310690909090908</v>
      </c>
      <c r="H97" s="8">
        <f t="shared" si="52"/>
        <v>17.058727272727275</v>
      </c>
      <c r="I97" s="8">
        <f t="shared" si="52"/>
        <v>53.406763636363635</v>
      </c>
      <c r="J97" s="8">
        <f t="shared" si="52"/>
        <v>52.323799999999999</v>
      </c>
      <c r="K97" s="8">
        <f t="shared" si="52"/>
        <v>51.240836363636369</v>
      </c>
      <c r="L97" s="8">
        <f t="shared" si="52"/>
        <v>50.157872727272725</v>
      </c>
      <c r="M97" s="8">
        <f t="shared" si="52"/>
        <v>49.074909090909095</v>
      </c>
      <c r="N97" s="8">
        <f t="shared" si="52"/>
        <v>48.491945454545458</v>
      </c>
      <c r="O97" s="8">
        <f t="shared" si="52"/>
        <v>47.408981818181815</v>
      </c>
      <c r="P97" s="8">
        <f t="shared" si="52"/>
        <v>46.326018181818185</v>
      </c>
      <c r="Q97" s="8">
        <f t="shared" si="52"/>
        <v>45.243054545454548</v>
      </c>
      <c r="R97" s="8">
        <f t="shared" si="52"/>
        <v>38.251000000000005</v>
      </c>
      <c r="S97" s="8">
        <f t="shared" si="52"/>
        <v>4.0199999999999996</v>
      </c>
      <c r="T97" s="8">
        <f t="shared" si="52"/>
        <v>3.956</v>
      </c>
      <c r="U97" s="8">
        <f t="shared" si="52"/>
        <v>3.8920000000000003</v>
      </c>
      <c r="V97" s="8">
        <f t="shared" si="52"/>
        <v>3.8280000000000003</v>
      </c>
      <c r="W97" s="8">
        <f t="shared" si="52"/>
        <v>3.7640000000000002</v>
      </c>
    </row>
    <row r="98" spans="1:46" s="8" customFormat="1" x14ac:dyDescent="0.25"/>
    <row r="99" spans="1:46" s="8" customFormat="1" x14ac:dyDescent="0.25">
      <c r="A99" s="8" t="s">
        <v>14</v>
      </c>
      <c r="B99" s="39">
        <v>0.05</v>
      </c>
    </row>
    <row r="100" spans="1:46" s="8" customFormat="1" x14ac:dyDescent="0.25"/>
    <row r="101" spans="1:46" s="8" customFormat="1" x14ac:dyDescent="0.25">
      <c r="A101" s="8" t="s">
        <v>15</v>
      </c>
      <c r="B101" s="10">
        <f>NPV(B99,D97:W97)</f>
        <v>361.52464907012478</v>
      </c>
      <c r="D101" s="43"/>
    </row>
    <row r="102" spans="1:46" s="8" customFormat="1" x14ac:dyDescent="0.25"/>
    <row r="103" spans="1:46" s="8" customFormat="1" x14ac:dyDescent="0.25">
      <c r="A103" s="8" t="s">
        <v>83</v>
      </c>
      <c r="B103" s="11">
        <f>B101/C94</f>
        <v>0.79983329440293094</v>
      </c>
    </row>
    <row r="104" spans="1:46" s="8" customFormat="1" x14ac:dyDescent="0.25">
      <c r="B104" s="11"/>
    </row>
    <row r="105" spans="1:46" s="8" customFormat="1" x14ac:dyDescent="0.25">
      <c r="A105" s="8" t="s">
        <v>208</v>
      </c>
      <c r="B105" s="11"/>
    </row>
    <row r="106" spans="1:46" s="8" customFormat="1" x14ac:dyDescent="0.25">
      <c r="A106" s="8" t="s">
        <v>165</v>
      </c>
      <c r="B106" s="39">
        <f>(B35-B74)/B74</f>
        <v>0.38980693575843745</v>
      </c>
    </row>
    <row r="107" spans="1:46" s="8" customFormat="1" x14ac:dyDescent="0.25">
      <c r="A107" s="8" t="s">
        <v>167</v>
      </c>
      <c r="B107" s="39">
        <f>(B48-B74)/B74</f>
        <v>1.0430278811092879</v>
      </c>
    </row>
    <row r="109" spans="1:46" s="13" customFormat="1" x14ac:dyDescent="0.25">
      <c r="A109" s="12" t="s">
        <v>32</v>
      </c>
    </row>
    <row r="110" spans="1:46" s="13" customFormat="1" x14ac:dyDescent="0.25">
      <c r="H110" s="13">
        <v>2012</v>
      </c>
      <c r="I110" s="13">
        <f>H110+1</f>
        <v>2013</v>
      </c>
      <c r="J110" s="13">
        <f t="shared" ref="J110:AT110" si="53">I110+1</f>
        <v>2014</v>
      </c>
      <c r="K110" s="13">
        <f t="shared" si="53"/>
        <v>2015</v>
      </c>
      <c r="L110" s="13">
        <f t="shared" si="53"/>
        <v>2016</v>
      </c>
      <c r="M110" s="13">
        <f t="shared" si="53"/>
        <v>2017</v>
      </c>
      <c r="N110" s="13">
        <f t="shared" si="53"/>
        <v>2018</v>
      </c>
      <c r="O110" s="13">
        <f t="shared" si="53"/>
        <v>2019</v>
      </c>
      <c r="P110" s="13">
        <f t="shared" si="53"/>
        <v>2020</v>
      </c>
      <c r="Q110" s="13">
        <f t="shared" si="53"/>
        <v>2021</v>
      </c>
      <c r="R110" s="13">
        <f t="shared" si="53"/>
        <v>2022</v>
      </c>
      <c r="S110" s="13">
        <f t="shared" si="53"/>
        <v>2023</v>
      </c>
      <c r="T110" s="13">
        <f t="shared" si="53"/>
        <v>2024</v>
      </c>
      <c r="U110" s="13">
        <f t="shared" si="53"/>
        <v>2025</v>
      </c>
      <c r="V110" s="13">
        <f t="shared" si="53"/>
        <v>2026</v>
      </c>
      <c r="W110" s="13">
        <f t="shared" si="53"/>
        <v>2027</v>
      </c>
      <c r="X110" s="13">
        <f t="shared" si="53"/>
        <v>2028</v>
      </c>
      <c r="Y110" s="13">
        <f t="shared" si="53"/>
        <v>2029</v>
      </c>
      <c r="Z110" s="13">
        <f t="shared" si="53"/>
        <v>2030</v>
      </c>
      <c r="AA110" s="13">
        <f t="shared" si="53"/>
        <v>2031</v>
      </c>
      <c r="AB110" s="13">
        <f t="shared" si="53"/>
        <v>2032</v>
      </c>
      <c r="AC110" s="13">
        <f t="shared" si="53"/>
        <v>2033</v>
      </c>
      <c r="AD110" s="13">
        <f t="shared" si="53"/>
        <v>2034</v>
      </c>
      <c r="AE110" s="13">
        <f t="shared" si="53"/>
        <v>2035</v>
      </c>
      <c r="AF110" s="13">
        <f t="shared" si="53"/>
        <v>2036</v>
      </c>
      <c r="AG110" s="13">
        <f t="shared" si="53"/>
        <v>2037</v>
      </c>
      <c r="AH110" s="13">
        <f t="shared" si="53"/>
        <v>2038</v>
      </c>
      <c r="AI110" s="13">
        <f t="shared" si="53"/>
        <v>2039</v>
      </c>
      <c r="AJ110" s="13">
        <f t="shared" si="53"/>
        <v>2040</v>
      </c>
      <c r="AK110" s="13">
        <f t="shared" si="53"/>
        <v>2041</v>
      </c>
      <c r="AL110" s="13">
        <f t="shared" si="53"/>
        <v>2042</v>
      </c>
      <c r="AM110" s="13">
        <f t="shared" si="53"/>
        <v>2043</v>
      </c>
      <c r="AN110" s="13">
        <f t="shared" si="53"/>
        <v>2044</v>
      </c>
      <c r="AO110" s="13">
        <f t="shared" si="53"/>
        <v>2045</v>
      </c>
      <c r="AP110" s="13">
        <f t="shared" si="53"/>
        <v>2046</v>
      </c>
      <c r="AQ110" s="13">
        <f t="shared" si="53"/>
        <v>2047</v>
      </c>
      <c r="AR110" s="13">
        <f t="shared" si="53"/>
        <v>2048</v>
      </c>
      <c r="AS110" s="13">
        <f t="shared" si="53"/>
        <v>2049</v>
      </c>
      <c r="AT110" s="13">
        <f t="shared" si="53"/>
        <v>2050</v>
      </c>
    </row>
    <row r="111" spans="1:46" s="13" customFormat="1" x14ac:dyDescent="0.25">
      <c r="A111" s="12" t="s">
        <v>90</v>
      </c>
      <c r="T111" s="13">
        <v>42.67</v>
      </c>
      <c r="U111" s="13">
        <v>33.650100000000002</v>
      </c>
      <c r="V111" s="13">
        <v>55.665423000000004</v>
      </c>
      <c r="W111" s="13">
        <v>155.6931072774</v>
      </c>
      <c r="X111" s="13">
        <v>147.7409063773467</v>
      </c>
      <c r="Y111" s="13">
        <v>139.78870547729341</v>
      </c>
      <c r="Z111" s="13">
        <v>131.83650457724011</v>
      </c>
      <c r="AA111" s="13">
        <v>123.88430367718681</v>
      </c>
      <c r="AB111" s="13">
        <v>115.93210277713351</v>
      </c>
      <c r="AC111" s="13">
        <v>107.97990187708021</v>
      </c>
    </row>
    <row r="112" spans="1:46" s="13" customFormat="1" x14ac:dyDescent="0.25">
      <c r="A112" s="12" t="s">
        <v>254</v>
      </c>
      <c r="Y112" s="13">
        <f>Y111+Y113</f>
        <v>175.60688729547522</v>
      </c>
      <c r="Z112" s="13">
        <f t="shared" ref="Z112:AT112" si="54">Z111+Z113</f>
        <v>167.65468639542192</v>
      </c>
      <c r="AA112" s="13">
        <f t="shared" si="54"/>
        <v>159.70248549536862</v>
      </c>
      <c r="AB112" s="13">
        <f t="shared" si="54"/>
        <v>151.75028459531532</v>
      </c>
      <c r="AC112" s="13">
        <f t="shared" si="54"/>
        <v>143.79808369526202</v>
      </c>
      <c r="AD112" s="13">
        <f t="shared" si="54"/>
        <v>35.81818181818182</v>
      </c>
      <c r="AE112" s="13">
        <f t="shared" si="54"/>
        <v>35.81818181818182</v>
      </c>
      <c r="AF112" s="13">
        <f t="shared" si="54"/>
        <v>35.81818181818182</v>
      </c>
      <c r="AG112" s="13">
        <f t="shared" si="54"/>
        <v>35.81818181818182</v>
      </c>
      <c r="AH112" s="13">
        <f t="shared" si="54"/>
        <v>35.81818181818182</v>
      </c>
      <c r="AI112" s="13">
        <f t="shared" si="54"/>
        <v>35.81818181818182</v>
      </c>
      <c r="AJ112" s="13">
        <f t="shared" si="54"/>
        <v>35.81818181818182</v>
      </c>
      <c r="AK112" s="13">
        <f t="shared" si="54"/>
        <v>35.81818181818182</v>
      </c>
      <c r="AL112" s="13">
        <f t="shared" si="54"/>
        <v>35.81818181818182</v>
      </c>
      <c r="AM112" s="13">
        <f t="shared" si="54"/>
        <v>35.81818181818182</v>
      </c>
      <c r="AN112" s="13">
        <f t="shared" si="54"/>
        <v>35.81818181818182</v>
      </c>
      <c r="AO112" s="13">
        <f t="shared" si="54"/>
        <v>35.81818181818182</v>
      </c>
      <c r="AP112" s="13">
        <f t="shared" si="54"/>
        <v>35.81818181818182</v>
      </c>
      <c r="AQ112" s="13">
        <f t="shared" si="54"/>
        <v>35.81818181818182</v>
      </c>
      <c r="AR112" s="13">
        <f t="shared" si="54"/>
        <v>35.81818181818182</v>
      </c>
      <c r="AS112" s="13">
        <f t="shared" si="54"/>
        <v>35.81818181818182</v>
      </c>
      <c r="AT112" s="13">
        <f t="shared" si="54"/>
        <v>35.81818181818182</v>
      </c>
    </row>
    <row r="113" spans="1:46" s="13" customFormat="1" x14ac:dyDescent="0.25">
      <c r="A113" s="14" t="s">
        <v>228</v>
      </c>
      <c r="Y113" s="13">
        <v>35.81818181818182</v>
      </c>
      <c r="Z113" s="13">
        <v>35.81818181818182</v>
      </c>
      <c r="AA113" s="13">
        <v>35.81818181818182</v>
      </c>
      <c r="AB113" s="13">
        <v>35.81818181818182</v>
      </c>
      <c r="AC113" s="13">
        <v>35.81818181818182</v>
      </c>
      <c r="AD113" s="13">
        <v>35.81818181818182</v>
      </c>
      <c r="AE113" s="13">
        <v>35.81818181818182</v>
      </c>
      <c r="AF113" s="13">
        <v>35.81818181818182</v>
      </c>
      <c r="AG113" s="13">
        <v>35.81818181818182</v>
      </c>
      <c r="AH113" s="13">
        <v>35.81818181818182</v>
      </c>
      <c r="AI113" s="13">
        <v>35.81818181818182</v>
      </c>
      <c r="AJ113" s="13">
        <v>35.81818181818182</v>
      </c>
      <c r="AK113" s="13">
        <v>35.81818181818182</v>
      </c>
      <c r="AL113" s="13">
        <v>35.81818181818182</v>
      </c>
      <c r="AM113" s="13">
        <v>35.81818181818182</v>
      </c>
      <c r="AN113" s="13">
        <v>35.81818181818182</v>
      </c>
      <c r="AO113" s="13">
        <v>35.81818181818182</v>
      </c>
      <c r="AP113" s="13">
        <v>35.81818181818182</v>
      </c>
      <c r="AQ113" s="13">
        <v>35.81818181818182</v>
      </c>
      <c r="AR113" s="13">
        <v>35.81818181818182</v>
      </c>
      <c r="AS113" s="13">
        <v>35.81818181818182</v>
      </c>
      <c r="AT113" s="13">
        <v>35.81818181818182</v>
      </c>
    </row>
    <row r="114" spans="1:46" s="13" customFormat="1" x14ac:dyDescent="0.25"/>
    <row r="115" spans="1:46" s="13" customFormat="1" x14ac:dyDescent="0.25">
      <c r="A115" s="12" t="s">
        <v>255</v>
      </c>
    </row>
    <row r="116" spans="1:46" s="13" customFormat="1" x14ac:dyDescent="0.25">
      <c r="B116" s="13" t="s">
        <v>92</v>
      </c>
      <c r="C116" s="13" t="s">
        <v>35</v>
      </c>
      <c r="D116" s="13" t="s">
        <v>94</v>
      </c>
      <c r="E116" s="13" t="s">
        <v>36</v>
      </c>
      <c r="F116" s="13" t="s">
        <v>95</v>
      </c>
      <c r="G116" s="13" t="s">
        <v>14</v>
      </c>
    </row>
    <row r="117" spans="1:46" s="13" customFormat="1" x14ac:dyDescent="0.25">
      <c r="A117" s="13" t="s">
        <v>98</v>
      </c>
      <c r="B117" s="23" t="s">
        <v>256</v>
      </c>
      <c r="C117" s="23">
        <v>125</v>
      </c>
      <c r="D117" s="13">
        <v>9.875</v>
      </c>
      <c r="E117" s="13">
        <v>2019</v>
      </c>
      <c r="F117" s="13">
        <f>C117/675</f>
        <v>0.18518518518518517</v>
      </c>
      <c r="G117" s="13">
        <v>2.1000000000000001E-2</v>
      </c>
      <c r="P117" s="13">
        <f>(C117*(D117/100))/2</f>
        <v>6.171875</v>
      </c>
      <c r="Q117" s="13">
        <v>0</v>
      </c>
      <c r="R117" s="13">
        <v>0</v>
      </c>
      <c r="S117" s="13">
        <v>0</v>
      </c>
      <c r="T117" s="13">
        <f>T111*0.185185</f>
        <v>7.9018439499999999</v>
      </c>
      <c r="U117" s="13">
        <f t="shared" ref="U117:AC117" si="55">U111*0.185185</f>
        <v>6.2314937685</v>
      </c>
      <c r="V117" s="13">
        <f t="shared" si="55"/>
        <v>10.308401358255001</v>
      </c>
      <c r="W117" s="13">
        <f t="shared" si="55"/>
        <v>28.832028071165318</v>
      </c>
      <c r="X117" s="13">
        <f t="shared" si="55"/>
        <v>27.359399747488947</v>
      </c>
      <c r="Y117" s="13">
        <f t="shared" si="55"/>
        <v>25.886771423812579</v>
      </c>
      <c r="Z117" s="13">
        <f t="shared" si="55"/>
        <v>24.414143100136208</v>
      </c>
      <c r="AA117" s="13">
        <f t="shared" si="55"/>
        <v>22.941514776459837</v>
      </c>
      <c r="AB117" s="13">
        <f t="shared" si="55"/>
        <v>21.468886452783469</v>
      </c>
      <c r="AC117" s="13">
        <f t="shared" si="55"/>
        <v>19.996258129107098</v>
      </c>
    </row>
    <row r="118" spans="1:46" s="13" customFormat="1" x14ac:dyDescent="0.25">
      <c r="A118" s="13" t="s">
        <v>257</v>
      </c>
      <c r="B118" s="14">
        <f>NPV(G117,P117:AC117)</f>
        <v>164.3543825333216</v>
      </c>
    </row>
    <row r="119" spans="1:46" s="13" customFormat="1" x14ac:dyDescent="0.25">
      <c r="A119" s="13" t="s">
        <v>258</v>
      </c>
      <c r="B119" s="23" t="s">
        <v>256</v>
      </c>
      <c r="C119" s="23">
        <v>125</v>
      </c>
      <c r="D119" s="13">
        <v>9.875</v>
      </c>
      <c r="E119" s="13">
        <v>2019</v>
      </c>
      <c r="F119" s="13">
        <f>C119/675</f>
        <v>0.18518518518518517</v>
      </c>
      <c r="G119" s="13">
        <v>2.3E-2</v>
      </c>
      <c r="P119" s="13">
        <f t="shared" ref="P119:X119" si="56">P117</f>
        <v>6.171875</v>
      </c>
      <c r="Q119" s="13">
        <f t="shared" si="56"/>
        <v>0</v>
      </c>
      <c r="R119" s="13">
        <f t="shared" si="56"/>
        <v>0</v>
      </c>
      <c r="S119" s="13">
        <f t="shared" si="56"/>
        <v>0</v>
      </c>
      <c r="T119" s="13">
        <f t="shared" si="56"/>
        <v>7.9018439499999999</v>
      </c>
      <c r="U119" s="13">
        <f t="shared" si="56"/>
        <v>6.2314937685</v>
      </c>
      <c r="V119" s="13">
        <f t="shared" si="56"/>
        <v>10.308401358255001</v>
      </c>
      <c r="W119" s="13">
        <f t="shared" si="56"/>
        <v>28.832028071165318</v>
      </c>
      <c r="X119" s="13">
        <f t="shared" si="56"/>
        <v>27.359399747488947</v>
      </c>
      <c r="Y119" s="13">
        <f t="shared" ref="Y119:AT119" si="57">Y112*0.185185</f>
        <v>32.519761423812575</v>
      </c>
      <c r="Z119" s="13">
        <f t="shared" si="57"/>
        <v>31.047133100136207</v>
      </c>
      <c r="AA119" s="13">
        <f t="shared" si="57"/>
        <v>29.574504776459836</v>
      </c>
      <c r="AB119" s="13">
        <f t="shared" si="57"/>
        <v>28.101876452783465</v>
      </c>
      <c r="AC119" s="13">
        <f t="shared" si="57"/>
        <v>26.629248129107097</v>
      </c>
      <c r="AD119" s="13">
        <f t="shared" si="57"/>
        <v>6.6329900000000004</v>
      </c>
      <c r="AE119" s="13">
        <f t="shared" si="57"/>
        <v>6.6329900000000004</v>
      </c>
      <c r="AF119" s="13">
        <f t="shared" si="57"/>
        <v>6.6329900000000004</v>
      </c>
      <c r="AG119" s="13">
        <f t="shared" si="57"/>
        <v>6.6329900000000004</v>
      </c>
      <c r="AH119" s="13">
        <f t="shared" si="57"/>
        <v>6.6329900000000004</v>
      </c>
      <c r="AI119" s="13">
        <f t="shared" si="57"/>
        <v>6.6329900000000004</v>
      </c>
      <c r="AJ119" s="13">
        <f t="shared" si="57"/>
        <v>6.6329900000000004</v>
      </c>
      <c r="AK119" s="13">
        <f t="shared" si="57"/>
        <v>6.6329900000000004</v>
      </c>
      <c r="AL119" s="13">
        <f t="shared" si="57"/>
        <v>6.6329900000000004</v>
      </c>
      <c r="AM119" s="13">
        <f t="shared" si="57"/>
        <v>6.6329900000000004</v>
      </c>
      <c r="AN119" s="13">
        <f t="shared" si="57"/>
        <v>6.6329900000000004</v>
      </c>
      <c r="AO119" s="13">
        <f t="shared" si="57"/>
        <v>6.6329900000000004</v>
      </c>
      <c r="AP119" s="13">
        <f t="shared" si="57"/>
        <v>6.6329900000000004</v>
      </c>
      <c r="AQ119" s="13">
        <f t="shared" si="57"/>
        <v>6.6329900000000004</v>
      </c>
      <c r="AR119" s="13">
        <f t="shared" si="57"/>
        <v>6.6329900000000004</v>
      </c>
      <c r="AS119" s="13">
        <f t="shared" si="57"/>
        <v>6.6329900000000004</v>
      </c>
      <c r="AT119" s="13">
        <f t="shared" si="57"/>
        <v>6.6329900000000004</v>
      </c>
    </row>
    <row r="120" spans="1:46" s="13" customFormat="1" x14ac:dyDescent="0.25">
      <c r="A120" s="13" t="s">
        <v>257</v>
      </c>
      <c r="B120" s="14">
        <f>NPV(G119,P119:AT119)</f>
        <v>253.77118492677505</v>
      </c>
    </row>
    <row r="121" spans="1:46" s="13" customFormat="1" x14ac:dyDescent="0.25">
      <c r="B121" s="14"/>
    </row>
    <row r="122" spans="1:46" s="13" customFormat="1" x14ac:dyDescent="0.25">
      <c r="A122" s="13" t="s">
        <v>259</v>
      </c>
      <c r="B122" s="14">
        <f>B118-C117</f>
        <v>39.354382533321598</v>
      </c>
    </row>
    <row r="123" spans="1:46" s="13" customFormat="1" x14ac:dyDescent="0.25">
      <c r="A123" s="13" t="s">
        <v>260</v>
      </c>
      <c r="B123" s="14">
        <f>B120-C119</f>
        <v>128.77118492677505</v>
      </c>
    </row>
    <row r="124" spans="1:46" s="13" customFormat="1" x14ac:dyDescent="0.25">
      <c r="B124" s="14"/>
    </row>
    <row r="125" spans="1:46" s="13" customFormat="1" x14ac:dyDescent="0.25">
      <c r="A125" s="13" t="s">
        <v>101</v>
      </c>
      <c r="B125" s="13" t="s">
        <v>261</v>
      </c>
      <c r="C125" s="13">
        <v>550</v>
      </c>
      <c r="D125" s="13">
        <v>9.25</v>
      </c>
      <c r="E125" s="13">
        <v>2016</v>
      </c>
      <c r="F125" s="13">
        <f>C125/675</f>
        <v>0.81481481481481477</v>
      </c>
      <c r="G125" s="13">
        <v>2.1999999999999999E-2</v>
      </c>
      <c r="M125" s="13">
        <f>C125*(D125/100)</f>
        <v>50.875</v>
      </c>
      <c r="N125" s="13">
        <f t="shared" ref="N125:P125" si="58">M125</f>
        <v>50.875</v>
      </c>
      <c r="O125" s="13">
        <f t="shared" si="58"/>
        <v>50.875</v>
      </c>
      <c r="P125" s="13">
        <f t="shared" si="58"/>
        <v>50.875</v>
      </c>
      <c r="Q125" s="13">
        <v>0</v>
      </c>
      <c r="R125" s="13">
        <v>0</v>
      </c>
      <c r="S125" s="13">
        <v>0</v>
      </c>
      <c r="T125" s="13">
        <f t="shared" ref="T125:AC125" si="59">T111*0.814815</f>
        <v>34.768156050000002</v>
      </c>
      <c r="U125" s="13">
        <f t="shared" si="59"/>
        <v>27.4186062315</v>
      </c>
      <c r="V125" s="13">
        <f t="shared" si="59"/>
        <v>45.357021641745</v>
      </c>
      <c r="W125" s="13">
        <f t="shared" si="59"/>
        <v>126.86107920623468</v>
      </c>
      <c r="X125" s="13">
        <f t="shared" si="59"/>
        <v>120.38150662985775</v>
      </c>
      <c r="Y125" s="13">
        <f t="shared" si="59"/>
        <v>113.90193405348082</v>
      </c>
      <c r="Z125" s="13">
        <f t="shared" si="59"/>
        <v>107.42236147710389</v>
      </c>
      <c r="AA125" s="13">
        <f t="shared" si="59"/>
        <v>100.94278890072697</v>
      </c>
      <c r="AB125" s="13">
        <f t="shared" si="59"/>
        <v>94.463216324350029</v>
      </c>
      <c r="AC125" s="13">
        <f t="shared" si="59"/>
        <v>87.983643747973105</v>
      </c>
    </row>
    <row r="126" spans="1:46" s="13" customFormat="1" x14ac:dyDescent="0.25">
      <c r="A126" s="13" t="s">
        <v>257</v>
      </c>
      <c r="B126" s="14">
        <f>NPV(G125,M125:AC125)</f>
        <v>838.93395900402447</v>
      </c>
    </row>
    <row r="127" spans="1:46" s="13" customFormat="1" x14ac:dyDescent="0.25">
      <c r="A127" s="13" t="s">
        <v>262</v>
      </c>
      <c r="B127" s="13" t="s">
        <v>261</v>
      </c>
      <c r="C127" s="13">
        <v>550</v>
      </c>
      <c r="D127" s="13">
        <v>9.25</v>
      </c>
      <c r="E127" s="13">
        <v>2016</v>
      </c>
      <c r="F127" s="13">
        <f>C127/675</f>
        <v>0.81481481481481477</v>
      </c>
      <c r="G127" s="13">
        <v>2.5000000000000001E-2</v>
      </c>
      <c r="M127" s="13">
        <f t="shared" ref="M127:X127" si="60">M125</f>
        <v>50.875</v>
      </c>
      <c r="N127" s="13">
        <f t="shared" si="60"/>
        <v>50.875</v>
      </c>
      <c r="O127" s="13">
        <f t="shared" si="60"/>
        <v>50.875</v>
      </c>
      <c r="P127" s="13">
        <f t="shared" si="60"/>
        <v>50.875</v>
      </c>
      <c r="Q127" s="13">
        <f t="shared" si="60"/>
        <v>0</v>
      </c>
      <c r="R127" s="13">
        <f t="shared" si="60"/>
        <v>0</v>
      </c>
      <c r="S127" s="13">
        <f t="shared" si="60"/>
        <v>0</v>
      </c>
      <c r="T127" s="13">
        <f t="shared" si="60"/>
        <v>34.768156050000002</v>
      </c>
      <c r="U127" s="13">
        <f t="shared" si="60"/>
        <v>27.4186062315</v>
      </c>
      <c r="V127" s="13">
        <f t="shared" si="60"/>
        <v>45.357021641745</v>
      </c>
      <c r="W127" s="13">
        <f t="shared" si="60"/>
        <v>126.86107920623468</v>
      </c>
      <c r="X127" s="13">
        <f t="shared" si="60"/>
        <v>120.38150662985775</v>
      </c>
      <c r="Y127" s="13">
        <f t="shared" ref="Y127:AT127" si="61">Y112*0.814815</f>
        <v>143.08712587166264</v>
      </c>
      <c r="Z127" s="13">
        <f t="shared" si="61"/>
        <v>136.6075532952857</v>
      </c>
      <c r="AA127" s="13">
        <f t="shared" si="61"/>
        <v>130.12798071890879</v>
      </c>
      <c r="AB127" s="13">
        <f t="shared" si="61"/>
        <v>123.64840814253185</v>
      </c>
      <c r="AC127" s="13">
        <f t="shared" si="61"/>
        <v>117.16883556615493</v>
      </c>
      <c r="AD127" s="13">
        <f t="shared" si="61"/>
        <v>29.185191818181817</v>
      </c>
      <c r="AE127" s="13">
        <f t="shared" si="61"/>
        <v>29.185191818181817</v>
      </c>
      <c r="AF127" s="13">
        <f t="shared" si="61"/>
        <v>29.185191818181817</v>
      </c>
      <c r="AG127" s="13">
        <f t="shared" si="61"/>
        <v>29.185191818181817</v>
      </c>
      <c r="AH127" s="13">
        <f t="shared" si="61"/>
        <v>29.185191818181817</v>
      </c>
      <c r="AI127" s="13">
        <f t="shared" si="61"/>
        <v>29.185191818181817</v>
      </c>
      <c r="AJ127" s="13">
        <f t="shared" si="61"/>
        <v>29.185191818181817</v>
      </c>
      <c r="AK127" s="13">
        <f t="shared" si="61"/>
        <v>29.185191818181817</v>
      </c>
      <c r="AL127" s="13">
        <f t="shared" si="61"/>
        <v>29.185191818181817</v>
      </c>
      <c r="AM127" s="13">
        <f t="shared" si="61"/>
        <v>29.185191818181817</v>
      </c>
      <c r="AN127" s="13">
        <f t="shared" si="61"/>
        <v>29.185191818181817</v>
      </c>
      <c r="AO127" s="13">
        <f t="shared" si="61"/>
        <v>29.185191818181817</v>
      </c>
      <c r="AP127" s="13">
        <f t="shared" si="61"/>
        <v>29.185191818181817</v>
      </c>
      <c r="AQ127" s="13">
        <f t="shared" si="61"/>
        <v>29.185191818181817</v>
      </c>
      <c r="AR127" s="13">
        <f t="shared" si="61"/>
        <v>29.185191818181817</v>
      </c>
      <c r="AS127" s="13">
        <f t="shared" si="61"/>
        <v>29.185191818181817</v>
      </c>
      <c r="AT127" s="13">
        <f t="shared" si="61"/>
        <v>29.185191818181817</v>
      </c>
    </row>
    <row r="128" spans="1:46" s="13" customFormat="1" x14ac:dyDescent="0.25">
      <c r="A128" s="13" t="s">
        <v>257</v>
      </c>
      <c r="B128" s="14">
        <f>NPV(G127,M127:AT127)</f>
        <v>1177.1393153485701</v>
      </c>
    </row>
    <row r="129" spans="1:3" s="13" customFormat="1" x14ac:dyDescent="0.25"/>
    <row r="130" spans="1:3" s="13" customFormat="1" x14ac:dyDescent="0.25">
      <c r="A130" s="13" t="s">
        <v>259</v>
      </c>
      <c r="B130" s="15">
        <f>B126-C125</f>
        <v>288.93395900402447</v>
      </c>
      <c r="C130" s="44"/>
    </row>
    <row r="131" spans="1:3" s="13" customFormat="1" x14ac:dyDescent="0.25">
      <c r="A131" s="13" t="s">
        <v>260</v>
      </c>
      <c r="B131" s="15">
        <f>B128-C127</f>
        <v>627.13931534857011</v>
      </c>
      <c r="C131" s="44"/>
    </row>
    <row r="132" spans="1:3" s="13" customFormat="1" x14ac:dyDescent="0.25">
      <c r="B132" s="14"/>
      <c r="C132" s="44" t="s">
        <v>40</v>
      </c>
    </row>
    <row r="133" spans="1:3" s="13" customFormat="1" x14ac:dyDescent="0.25">
      <c r="A133" s="13" t="s">
        <v>259</v>
      </c>
      <c r="B133" s="15">
        <f>B122+B130</f>
        <v>328.28834153734607</v>
      </c>
      <c r="C133" s="16">
        <f>B133/(C117+C125)</f>
        <v>0.48635309857384601</v>
      </c>
    </row>
    <row r="134" spans="1:3" s="13" customFormat="1" x14ac:dyDescent="0.25">
      <c r="A134" s="13" t="s">
        <v>260</v>
      </c>
      <c r="B134" s="15">
        <f>B123+B131</f>
        <v>755.91050027534516</v>
      </c>
      <c r="C134" s="16">
        <f>B134/(C119+C127)</f>
        <v>1.1198674078153261</v>
      </c>
    </row>
    <row r="135" spans="1:3" s="13" customFormat="1" x14ac:dyDescent="0.25">
      <c r="B135" s="15"/>
      <c r="C135" s="16"/>
    </row>
    <row r="136" spans="1:3" s="13" customFormat="1" x14ac:dyDescent="0.25">
      <c r="A136" s="13" t="s">
        <v>153</v>
      </c>
      <c r="B136" s="27">
        <f>(B133/2)+(B134/2)</f>
        <v>542.09942090634559</v>
      </c>
      <c r="C136" s="16"/>
    </row>
    <row r="137" spans="1:3" s="13" customFormat="1" x14ac:dyDescent="0.25">
      <c r="A137" s="13" t="s">
        <v>155</v>
      </c>
      <c r="B137" s="27">
        <f>B22</f>
        <v>675</v>
      </c>
      <c r="C137" s="16"/>
    </row>
    <row r="138" spans="1:3" s="13" customFormat="1" x14ac:dyDescent="0.25">
      <c r="A138" s="13" t="s">
        <v>154</v>
      </c>
      <c r="B138" s="16">
        <f>B136/B137</f>
        <v>0.80311025319458607</v>
      </c>
    </row>
    <row r="139" spans="1:3" s="13" customFormat="1" x14ac:dyDescent="0.25">
      <c r="B139" s="16"/>
    </row>
    <row r="140" spans="1:3" s="13" customFormat="1" x14ac:dyDescent="0.25">
      <c r="A140" s="12" t="s">
        <v>263</v>
      </c>
    </row>
    <row r="141" spans="1:3" s="13" customFormat="1" x14ac:dyDescent="0.25">
      <c r="A141" s="13" t="s">
        <v>264</v>
      </c>
    </row>
    <row r="143" spans="1:3" s="18" customFormat="1" x14ac:dyDescent="0.25">
      <c r="A143" s="17" t="s">
        <v>46</v>
      </c>
    </row>
    <row r="144" spans="1:3" s="18" customFormat="1" x14ac:dyDescent="0.25"/>
    <row r="145" spans="1:8" s="18" customFormat="1" x14ac:dyDescent="0.25">
      <c r="A145" s="17"/>
      <c r="B145" s="18" t="s">
        <v>198</v>
      </c>
    </row>
    <row r="146" spans="1:8" s="18" customFormat="1" x14ac:dyDescent="0.25">
      <c r="B146" s="18">
        <v>2399</v>
      </c>
      <c r="C146" s="18" t="s">
        <v>197</v>
      </c>
    </row>
    <row r="147" spans="1:8" s="18" customFormat="1" x14ac:dyDescent="0.25"/>
    <row r="148" spans="1:8" s="18" customFormat="1" x14ac:dyDescent="0.25">
      <c r="A148" s="18" t="s">
        <v>47</v>
      </c>
      <c r="B148" s="18" t="s">
        <v>140</v>
      </c>
      <c r="D148" s="18" t="s">
        <v>209</v>
      </c>
      <c r="E148" s="18" t="s">
        <v>141</v>
      </c>
      <c r="F148" s="18" t="s">
        <v>150</v>
      </c>
      <c r="G148" s="18" t="s">
        <v>151</v>
      </c>
      <c r="H148" s="18" t="s">
        <v>152</v>
      </c>
    </row>
    <row r="149" spans="1:8" s="18" customFormat="1" x14ac:dyDescent="0.25">
      <c r="A149" s="18" t="s">
        <v>142</v>
      </c>
      <c r="B149" s="26">
        <f>B169</f>
        <v>763.6901644633665</v>
      </c>
      <c r="C149" s="26"/>
      <c r="D149" s="20">
        <f>B149/B154</f>
        <v>0.31833687555788515</v>
      </c>
      <c r="E149" s="19">
        <f>B33</f>
        <v>678.95107974743974</v>
      </c>
      <c r="G149" s="26">
        <f>B149-E149</f>
        <v>84.739084715926765</v>
      </c>
      <c r="H149" s="18">
        <f>G149/B149</f>
        <v>0.11096003151418303</v>
      </c>
    </row>
    <row r="150" spans="1:8" s="18" customFormat="1" x14ac:dyDescent="0.25">
      <c r="A150" s="18" t="s">
        <v>143</v>
      </c>
      <c r="B150" s="26">
        <f>F180</f>
        <v>142.38172091168565</v>
      </c>
      <c r="D150" s="20">
        <f>B150/B154</f>
        <v>5.935044639920202E-2</v>
      </c>
      <c r="E150" s="26">
        <f>B150</f>
        <v>142.38172091168565</v>
      </c>
      <c r="F150" s="21">
        <f>E150*H150</f>
        <v>126.5830406722814</v>
      </c>
      <c r="H150" s="18">
        <f>1-H149</f>
        <v>0.88903996848581701</v>
      </c>
    </row>
    <row r="151" spans="1:8" s="18" customFormat="1" x14ac:dyDescent="0.25">
      <c r="A151" s="18" t="s">
        <v>146</v>
      </c>
      <c r="B151" s="26">
        <f>B149+B150</f>
        <v>906.07188537505215</v>
      </c>
      <c r="D151" s="20">
        <f>B151/B154</f>
        <v>0.37768732195708721</v>
      </c>
      <c r="E151" s="26">
        <f>E149+E150</f>
        <v>821.33280065912538</v>
      </c>
    </row>
    <row r="152" spans="1:8" s="18" customFormat="1" x14ac:dyDescent="0.25">
      <c r="A152" s="18" t="s">
        <v>17</v>
      </c>
      <c r="B152" s="26">
        <f>F191</f>
        <v>477.9866230041809</v>
      </c>
      <c r="D152" s="20">
        <f>B152/B154</f>
        <v>0.19924411129811626</v>
      </c>
      <c r="E152" s="21">
        <f>(C94+B54)*B74</f>
        <v>398.05485501540466</v>
      </c>
    </row>
    <row r="153" spans="1:8" s="18" customFormat="1" x14ac:dyDescent="0.25">
      <c r="A153" s="18" t="s">
        <v>48</v>
      </c>
      <c r="B153" s="26">
        <f>B154-B152-B151</f>
        <v>1014.9414916207669</v>
      </c>
      <c r="D153" s="20">
        <f>B153/B154</f>
        <v>0.42306856674479654</v>
      </c>
      <c r="E153" s="26">
        <f>B153</f>
        <v>1014.9414916207669</v>
      </c>
    </row>
    <row r="154" spans="1:8" s="18" customFormat="1" x14ac:dyDescent="0.25">
      <c r="B154" s="26">
        <f>B146</f>
        <v>2399</v>
      </c>
      <c r="E154" s="26">
        <f>E151+E152+E153</f>
        <v>2234.3291472952969</v>
      </c>
    </row>
    <row r="155" spans="1:8" s="18" customFormat="1" x14ac:dyDescent="0.25">
      <c r="B155" s="26"/>
      <c r="F155" s="26">
        <f>E149+F150+E152+E153</f>
        <v>2218.5304670558926</v>
      </c>
    </row>
    <row r="156" spans="1:8" s="18" customFormat="1" x14ac:dyDescent="0.25">
      <c r="A156" s="18" t="s">
        <v>71</v>
      </c>
      <c r="B156" s="20">
        <f>(B154-E154)/B154</f>
        <v>6.8641455900251377E-2</v>
      </c>
      <c r="F156" s="20">
        <f>(B154-F155)/B154</f>
        <v>7.5226983303087705E-2</v>
      </c>
    </row>
    <row r="157" spans="1:8" s="18" customFormat="1" x14ac:dyDescent="0.25">
      <c r="A157" s="18" t="s">
        <v>144</v>
      </c>
      <c r="B157" s="20">
        <f>((B149+B152)-(E149+E152))/(B149+B152)</f>
        <v>0.13261973998930612</v>
      </c>
    </row>
    <row r="158" spans="1:8" s="18" customFormat="1" x14ac:dyDescent="0.25">
      <c r="A158" s="18" t="s">
        <v>156</v>
      </c>
      <c r="B158" s="21">
        <f>B154-E154</f>
        <v>164.67085270470307</v>
      </c>
    </row>
    <row r="159" spans="1:8" s="18" customFormat="1" x14ac:dyDescent="0.25"/>
    <row r="160" spans="1:8" s="18" customFormat="1" x14ac:dyDescent="0.25">
      <c r="A160" s="17" t="s">
        <v>200</v>
      </c>
    </row>
    <row r="161" spans="1:16" s="18" customFormat="1" x14ac:dyDescent="0.25">
      <c r="C161" s="18">
        <v>2023</v>
      </c>
      <c r="D161" s="18">
        <f t="shared" ref="D161" si="62">C161+1</f>
        <v>2024</v>
      </c>
      <c r="E161" s="18">
        <f t="shared" ref="E161" si="63">D161+1</f>
        <v>2025</v>
      </c>
      <c r="F161" s="18">
        <f t="shared" ref="F161" si="64">E161+1</f>
        <v>2026</v>
      </c>
      <c r="H161" s="18" t="s">
        <v>70</v>
      </c>
    </row>
    <row r="162" spans="1:16" s="18" customFormat="1" x14ac:dyDescent="0.25">
      <c r="A162" s="34" t="s">
        <v>256</v>
      </c>
      <c r="B162" s="34">
        <v>125</v>
      </c>
      <c r="C162" s="18">
        <f>(B162*0.09875)+B162</f>
        <v>137.34375</v>
      </c>
      <c r="H162" s="18">
        <v>9.875</v>
      </c>
    </row>
    <row r="163" spans="1:16" s="18" customFormat="1" x14ac:dyDescent="0.25">
      <c r="A163" s="18" t="s">
        <v>261</v>
      </c>
      <c r="B163" s="18">
        <v>550</v>
      </c>
      <c r="C163" s="18">
        <f>B163*0.0925</f>
        <v>50.875</v>
      </c>
      <c r="D163" s="18">
        <f t="shared" ref="D163:E163" si="65">C163</f>
        <v>50.875</v>
      </c>
      <c r="E163" s="18">
        <f t="shared" si="65"/>
        <v>50.875</v>
      </c>
      <c r="F163" s="18">
        <f>E163+B163</f>
        <v>600.875</v>
      </c>
      <c r="H163" s="18">
        <v>9.25</v>
      </c>
    </row>
    <row r="164" spans="1:16" s="18" customFormat="1" x14ac:dyDescent="0.25"/>
    <row r="165" spans="1:16" s="18" customFormat="1" x14ac:dyDescent="0.25">
      <c r="B165" s="18" t="s">
        <v>13</v>
      </c>
      <c r="C165" s="18">
        <f t="shared" ref="C165:F165" si="66">C162+C163</f>
        <v>188.21875</v>
      </c>
      <c r="D165" s="18">
        <f t="shared" si="66"/>
        <v>50.875</v>
      </c>
      <c r="E165" s="18">
        <f t="shared" si="66"/>
        <v>50.875</v>
      </c>
      <c r="F165" s="18">
        <f t="shared" si="66"/>
        <v>600.875</v>
      </c>
    </row>
    <row r="166" spans="1:16" s="18" customFormat="1" x14ac:dyDescent="0.25">
      <c r="B166" s="20"/>
    </row>
    <row r="167" spans="1:16" s="18" customFormat="1" x14ac:dyDescent="0.25">
      <c r="A167" s="18" t="s">
        <v>14</v>
      </c>
      <c r="B167" s="20">
        <v>0.05</v>
      </c>
    </row>
    <row r="168" spans="1:16" s="18" customFormat="1" x14ac:dyDescent="0.25"/>
    <row r="169" spans="1:16" s="18" customFormat="1" x14ac:dyDescent="0.25">
      <c r="A169" s="18" t="s">
        <v>15</v>
      </c>
      <c r="B169" s="19">
        <f>NPV(B167,C165:H165)</f>
        <v>763.6901644633665</v>
      </c>
      <c r="E169" s="37"/>
    </row>
    <row r="170" spans="1:16" s="18" customFormat="1" x14ac:dyDescent="0.25"/>
    <row r="171" spans="1:16" s="18" customFormat="1" x14ac:dyDescent="0.25">
      <c r="A171" s="17" t="s">
        <v>265</v>
      </c>
    </row>
    <row r="172" spans="1:16" s="18" customFormat="1" x14ac:dyDescent="0.25"/>
    <row r="173" spans="1:16" s="18" customFormat="1" x14ac:dyDescent="0.25">
      <c r="B173" s="18" t="s">
        <v>202</v>
      </c>
      <c r="C173" s="18" t="s">
        <v>203</v>
      </c>
      <c r="F173" s="18">
        <v>2020</v>
      </c>
      <c r="G173" s="18">
        <f>F173+1</f>
        <v>2021</v>
      </c>
      <c r="H173" s="18">
        <f t="shared" ref="H173:P173" si="67">G173+1</f>
        <v>2022</v>
      </c>
      <c r="I173" s="18">
        <f t="shared" si="67"/>
        <v>2023</v>
      </c>
      <c r="J173" s="18">
        <f t="shared" si="67"/>
        <v>2024</v>
      </c>
      <c r="K173" s="18">
        <f t="shared" si="67"/>
        <v>2025</v>
      </c>
      <c r="L173" s="18">
        <f t="shared" si="67"/>
        <v>2026</v>
      </c>
      <c r="M173" s="18">
        <f t="shared" si="67"/>
        <v>2027</v>
      </c>
      <c r="N173" s="18">
        <f t="shared" si="67"/>
        <v>2028</v>
      </c>
      <c r="O173" s="18">
        <f t="shared" si="67"/>
        <v>2029</v>
      </c>
      <c r="P173" s="18">
        <f t="shared" si="67"/>
        <v>2030</v>
      </c>
    </row>
    <row r="174" spans="1:16" s="18" customFormat="1" x14ac:dyDescent="0.25">
      <c r="A174" s="18" t="s">
        <v>204</v>
      </c>
      <c r="B174" s="18">
        <v>138</v>
      </c>
      <c r="C174" s="38">
        <v>5.6000000000000001E-2</v>
      </c>
      <c r="E174" s="18" t="s">
        <v>69</v>
      </c>
      <c r="F174" s="18">
        <f>B174</f>
        <v>138</v>
      </c>
      <c r="G174" s="18">
        <f>F174-F175</f>
        <v>138</v>
      </c>
      <c r="H174" s="18">
        <f t="shared" ref="H174:P174" si="68">G174-H175</f>
        <v>124.2</v>
      </c>
      <c r="I174" s="18">
        <f t="shared" si="68"/>
        <v>110.4</v>
      </c>
      <c r="J174" s="18">
        <f t="shared" si="68"/>
        <v>96.600000000000009</v>
      </c>
      <c r="K174" s="18">
        <f t="shared" si="68"/>
        <v>82.800000000000011</v>
      </c>
      <c r="L174" s="18">
        <f t="shared" si="68"/>
        <v>69.000000000000014</v>
      </c>
      <c r="M174" s="18">
        <f t="shared" si="68"/>
        <v>55.200000000000017</v>
      </c>
      <c r="N174" s="18">
        <f t="shared" si="68"/>
        <v>41.40000000000002</v>
      </c>
      <c r="O174" s="18">
        <f t="shared" si="68"/>
        <v>27.600000000000019</v>
      </c>
      <c r="P174" s="18">
        <f t="shared" si="68"/>
        <v>13.800000000000018</v>
      </c>
    </row>
    <row r="175" spans="1:16" s="18" customFormat="1" x14ac:dyDescent="0.25">
      <c r="B175" s="18" t="s">
        <v>205</v>
      </c>
      <c r="C175" s="18" t="s">
        <v>206</v>
      </c>
      <c r="E175" s="18" t="s">
        <v>29</v>
      </c>
      <c r="F175" s="18">
        <v>0</v>
      </c>
      <c r="G175" s="18">
        <f>F174/10</f>
        <v>13.8</v>
      </c>
      <c r="H175" s="18">
        <f>G175</f>
        <v>13.8</v>
      </c>
      <c r="I175" s="18">
        <f t="shared" ref="I175:P175" si="69">H175</f>
        <v>13.8</v>
      </c>
      <c r="J175" s="18">
        <f t="shared" si="69"/>
        <v>13.8</v>
      </c>
      <c r="K175" s="18">
        <f t="shared" si="69"/>
        <v>13.8</v>
      </c>
      <c r="L175" s="18">
        <f t="shared" si="69"/>
        <v>13.8</v>
      </c>
      <c r="M175" s="18">
        <f t="shared" si="69"/>
        <v>13.8</v>
      </c>
      <c r="N175" s="18">
        <f t="shared" si="69"/>
        <v>13.8</v>
      </c>
      <c r="O175" s="18">
        <f t="shared" si="69"/>
        <v>13.8</v>
      </c>
      <c r="P175" s="18">
        <f t="shared" si="69"/>
        <v>13.8</v>
      </c>
    </row>
    <row r="176" spans="1:16" s="18" customFormat="1" x14ac:dyDescent="0.25">
      <c r="E176" s="18" t="s">
        <v>70</v>
      </c>
      <c r="F176" s="18">
        <f>F174*0.056</f>
        <v>7.7279999999999998</v>
      </c>
      <c r="G176" s="18">
        <f t="shared" ref="G176:P176" si="70">G174*0.056</f>
        <v>7.7279999999999998</v>
      </c>
      <c r="H176" s="18">
        <f t="shared" si="70"/>
        <v>6.9552000000000005</v>
      </c>
      <c r="I176" s="18">
        <f t="shared" si="70"/>
        <v>6.1824000000000003</v>
      </c>
      <c r="J176" s="18">
        <f t="shared" si="70"/>
        <v>5.4096000000000002</v>
      </c>
      <c r="K176" s="18">
        <f t="shared" si="70"/>
        <v>4.6368000000000009</v>
      </c>
      <c r="L176" s="18">
        <f t="shared" si="70"/>
        <v>3.8640000000000008</v>
      </c>
      <c r="M176" s="18">
        <f t="shared" si="70"/>
        <v>3.0912000000000011</v>
      </c>
      <c r="N176" s="18">
        <f t="shared" si="70"/>
        <v>2.3184000000000013</v>
      </c>
      <c r="O176" s="18">
        <f t="shared" si="70"/>
        <v>1.5456000000000012</v>
      </c>
      <c r="P176" s="18">
        <f t="shared" si="70"/>
        <v>0.77280000000000104</v>
      </c>
    </row>
    <row r="177" spans="1:22" s="18" customFormat="1" x14ac:dyDescent="0.25"/>
    <row r="178" spans="1:22" s="18" customFormat="1" x14ac:dyDescent="0.25">
      <c r="B178" s="18" t="s">
        <v>14</v>
      </c>
      <c r="C178" s="18">
        <v>0.05</v>
      </c>
      <c r="E178" s="18" t="s">
        <v>13</v>
      </c>
      <c r="F178" s="18">
        <f>F175+F176</f>
        <v>7.7279999999999998</v>
      </c>
      <c r="G178" s="18">
        <f t="shared" ref="G178:P178" si="71">G175+G176</f>
        <v>21.527999999999999</v>
      </c>
      <c r="H178" s="18">
        <f t="shared" si="71"/>
        <v>20.755200000000002</v>
      </c>
      <c r="I178" s="18">
        <f t="shared" si="71"/>
        <v>19.982400000000002</v>
      </c>
      <c r="J178" s="18">
        <f t="shared" si="71"/>
        <v>19.209600000000002</v>
      </c>
      <c r="K178" s="18">
        <f t="shared" si="71"/>
        <v>18.436800000000002</v>
      </c>
      <c r="L178" s="18">
        <f t="shared" si="71"/>
        <v>17.664000000000001</v>
      </c>
      <c r="M178" s="18">
        <f t="shared" si="71"/>
        <v>16.891200000000001</v>
      </c>
      <c r="N178" s="18">
        <f t="shared" si="71"/>
        <v>16.118400000000001</v>
      </c>
      <c r="O178" s="18">
        <f t="shared" si="71"/>
        <v>15.345600000000001</v>
      </c>
      <c r="P178" s="18">
        <f t="shared" si="71"/>
        <v>14.572800000000001</v>
      </c>
    </row>
    <row r="179" spans="1:22" s="18" customFormat="1" x14ac:dyDescent="0.25"/>
    <row r="180" spans="1:22" s="18" customFormat="1" x14ac:dyDescent="0.25">
      <c r="E180" s="18" t="s">
        <v>15</v>
      </c>
      <c r="F180" s="19">
        <f>NPV(C178,F178:P178)</f>
        <v>142.38172091168565</v>
      </c>
    </row>
    <row r="181" spans="1:22" s="18" customFormat="1" x14ac:dyDescent="0.25"/>
    <row r="182" spans="1:22" s="18" customFormat="1" x14ac:dyDescent="0.25">
      <c r="A182" s="17" t="s">
        <v>207</v>
      </c>
    </row>
    <row r="183" spans="1:22" s="18" customFormat="1" x14ac:dyDescent="0.25"/>
    <row r="184" spans="1:22" s="18" customFormat="1" x14ac:dyDescent="0.25">
      <c r="A184" s="18" t="s">
        <v>17</v>
      </c>
      <c r="B184" s="18">
        <v>548</v>
      </c>
      <c r="C184" s="18">
        <v>2.7E-2</v>
      </c>
      <c r="F184" s="18">
        <v>2020</v>
      </c>
      <c r="G184" s="18">
        <f>F184+1</f>
        <v>2021</v>
      </c>
      <c r="H184" s="18">
        <f t="shared" ref="H184:P184" si="72">G184+1</f>
        <v>2022</v>
      </c>
      <c r="I184" s="18">
        <f t="shared" si="72"/>
        <v>2023</v>
      </c>
      <c r="J184" s="18">
        <f t="shared" si="72"/>
        <v>2024</v>
      </c>
      <c r="K184" s="18">
        <f t="shared" si="72"/>
        <v>2025</v>
      </c>
      <c r="L184" s="18">
        <f t="shared" si="72"/>
        <v>2026</v>
      </c>
      <c r="M184" s="18">
        <f t="shared" si="72"/>
        <v>2027</v>
      </c>
      <c r="N184" s="18">
        <f t="shared" si="72"/>
        <v>2028</v>
      </c>
      <c r="O184" s="18">
        <f t="shared" si="72"/>
        <v>2029</v>
      </c>
      <c r="P184" s="18">
        <f t="shared" si="72"/>
        <v>2030</v>
      </c>
      <c r="Q184" s="18">
        <f>P184+1</f>
        <v>2031</v>
      </c>
      <c r="R184" s="18">
        <f t="shared" ref="R184:V184" si="73">Q184+1</f>
        <v>2032</v>
      </c>
      <c r="S184" s="18">
        <f t="shared" si="73"/>
        <v>2033</v>
      </c>
      <c r="T184" s="18">
        <f t="shared" si="73"/>
        <v>2034</v>
      </c>
      <c r="U184" s="18">
        <f t="shared" si="73"/>
        <v>2035</v>
      </c>
      <c r="V184" s="18">
        <f t="shared" si="73"/>
        <v>2036</v>
      </c>
    </row>
    <row r="185" spans="1:22" s="18" customFormat="1" x14ac:dyDescent="0.25">
      <c r="B185" s="18" t="s">
        <v>205</v>
      </c>
      <c r="C185" s="18" t="s">
        <v>206</v>
      </c>
      <c r="E185" s="18" t="s">
        <v>69</v>
      </c>
      <c r="F185" s="18">
        <f>B184</f>
        <v>548</v>
      </c>
      <c r="G185" s="18">
        <f>F185-F186</f>
        <v>548</v>
      </c>
      <c r="H185" s="18">
        <f t="shared" ref="H185:U185" si="74">G185-H186</f>
        <v>511.4666666666667</v>
      </c>
      <c r="I185" s="18">
        <f t="shared" si="74"/>
        <v>474.93333333333339</v>
      </c>
      <c r="J185" s="18">
        <f t="shared" si="74"/>
        <v>438.40000000000009</v>
      </c>
      <c r="K185" s="18">
        <f t="shared" si="74"/>
        <v>401.86666666666679</v>
      </c>
      <c r="L185" s="18">
        <f t="shared" si="74"/>
        <v>365.33333333333348</v>
      </c>
      <c r="M185" s="18">
        <f t="shared" si="74"/>
        <v>328.80000000000018</v>
      </c>
      <c r="N185" s="18">
        <f t="shared" si="74"/>
        <v>292.26666666666688</v>
      </c>
      <c r="O185" s="18">
        <f t="shared" si="74"/>
        <v>255.73333333333355</v>
      </c>
      <c r="P185" s="18">
        <f t="shared" si="74"/>
        <v>219.20000000000022</v>
      </c>
      <c r="Q185" s="18">
        <f t="shared" si="74"/>
        <v>182.66666666666688</v>
      </c>
      <c r="R185" s="18">
        <f t="shared" si="74"/>
        <v>146.13333333333355</v>
      </c>
      <c r="S185" s="18">
        <f t="shared" si="74"/>
        <v>109.60000000000022</v>
      </c>
      <c r="T185" s="18">
        <f t="shared" si="74"/>
        <v>73.06666666666689</v>
      </c>
      <c r="U185" s="18">
        <f t="shared" si="74"/>
        <v>36.533333333333559</v>
      </c>
      <c r="V185" s="18">
        <v>0</v>
      </c>
    </row>
    <row r="186" spans="1:22" s="18" customFormat="1" x14ac:dyDescent="0.25">
      <c r="E186" s="18" t="s">
        <v>29</v>
      </c>
      <c r="F186" s="18">
        <v>0</v>
      </c>
      <c r="G186" s="18">
        <f>F185/15</f>
        <v>36.533333333333331</v>
      </c>
      <c r="H186" s="18">
        <f>G186</f>
        <v>36.533333333333331</v>
      </c>
      <c r="I186" s="18">
        <f t="shared" ref="I186:V186" si="75">H186</f>
        <v>36.533333333333331</v>
      </c>
      <c r="J186" s="18">
        <f t="shared" si="75"/>
        <v>36.533333333333331</v>
      </c>
      <c r="K186" s="18">
        <f t="shared" si="75"/>
        <v>36.533333333333331</v>
      </c>
      <c r="L186" s="18">
        <f t="shared" si="75"/>
        <v>36.533333333333331</v>
      </c>
      <c r="M186" s="18">
        <f t="shared" si="75"/>
        <v>36.533333333333331</v>
      </c>
      <c r="N186" s="18">
        <f t="shared" si="75"/>
        <v>36.533333333333331</v>
      </c>
      <c r="O186" s="18">
        <f t="shared" si="75"/>
        <v>36.533333333333331</v>
      </c>
      <c r="P186" s="18">
        <f t="shared" si="75"/>
        <v>36.533333333333331</v>
      </c>
      <c r="Q186" s="18">
        <f t="shared" si="75"/>
        <v>36.533333333333331</v>
      </c>
      <c r="R186" s="18">
        <f t="shared" si="75"/>
        <v>36.533333333333331</v>
      </c>
      <c r="S186" s="18">
        <f t="shared" si="75"/>
        <v>36.533333333333331</v>
      </c>
      <c r="T186" s="18">
        <f t="shared" si="75"/>
        <v>36.533333333333331</v>
      </c>
      <c r="U186" s="18">
        <f t="shared" si="75"/>
        <v>36.533333333333331</v>
      </c>
      <c r="V186" s="18">
        <f t="shared" si="75"/>
        <v>36.533333333333331</v>
      </c>
    </row>
    <row r="187" spans="1:22" s="18" customFormat="1" x14ac:dyDescent="0.25">
      <c r="E187" s="18" t="s">
        <v>70</v>
      </c>
      <c r="F187" s="18">
        <f>F185*0.027</f>
        <v>14.795999999999999</v>
      </c>
      <c r="G187" s="18">
        <f t="shared" ref="G187:V187" si="76">G185*0.027</f>
        <v>14.795999999999999</v>
      </c>
      <c r="H187" s="18">
        <f t="shared" si="76"/>
        <v>13.809600000000001</v>
      </c>
      <c r="I187" s="18">
        <f t="shared" si="76"/>
        <v>12.823200000000002</v>
      </c>
      <c r="J187" s="18">
        <f t="shared" si="76"/>
        <v>11.836800000000002</v>
      </c>
      <c r="K187" s="18">
        <f t="shared" si="76"/>
        <v>10.850400000000002</v>
      </c>
      <c r="L187" s="18">
        <f t="shared" si="76"/>
        <v>9.8640000000000043</v>
      </c>
      <c r="M187" s="18">
        <f t="shared" si="76"/>
        <v>8.8776000000000046</v>
      </c>
      <c r="N187" s="18">
        <f t="shared" si="76"/>
        <v>7.8912000000000058</v>
      </c>
      <c r="O187" s="18">
        <f t="shared" si="76"/>
        <v>6.904800000000006</v>
      </c>
      <c r="P187" s="18">
        <f t="shared" si="76"/>
        <v>5.9184000000000054</v>
      </c>
      <c r="Q187" s="18">
        <f t="shared" si="76"/>
        <v>4.9320000000000057</v>
      </c>
      <c r="R187" s="18">
        <f t="shared" si="76"/>
        <v>3.945600000000006</v>
      </c>
      <c r="S187" s="18">
        <f t="shared" si="76"/>
        <v>2.9592000000000058</v>
      </c>
      <c r="T187" s="18">
        <f t="shared" si="76"/>
        <v>1.9728000000000061</v>
      </c>
      <c r="U187" s="18">
        <f t="shared" si="76"/>
        <v>0.98640000000000605</v>
      </c>
      <c r="V187" s="18">
        <f t="shared" si="76"/>
        <v>0</v>
      </c>
    </row>
    <row r="188" spans="1:22" s="18" customFormat="1" x14ac:dyDescent="0.25"/>
    <row r="189" spans="1:22" s="18" customFormat="1" x14ac:dyDescent="0.25">
      <c r="B189" s="18" t="s">
        <v>14</v>
      </c>
      <c r="C189" s="18">
        <v>0.05</v>
      </c>
      <c r="E189" s="18" t="s">
        <v>13</v>
      </c>
      <c r="F189" s="18">
        <f>F186+F187</f>
        <v>14.795999999999999</v>
      </c>
      <c r="G189" s="18">
        <f t="shared" ref="G189:V189" si="77">G186+G187</f>
        <v>51.329333333333331</v>
      </c>
      <c r="H189" s="18">
        <f t="shared" si="77"/>
        <v>50.342933333333335</v>
      </c>
      <c r="I189" s="18">
        <f t="shared" si="77"/>
        <v>49.356533333333331</v>
      </c>
      <c r="J189" s="18">
        <f t="shared" si="77"/>
        <v>48.370133333333335</v>
      </c>
      <c r="K189" s="18">
        <f t="shared" si="77"/>
        <v>47.383733333333332</v>
      </c>
      <c r="L189" s="18">
        <f t="shared" si="77"/>
        <v>46.397333333333336</v>
      </c>
      <c r="M189" s="18">
        <f t="shared" si="77"/>
        <v>45.410933333333332</v>
      </c>
      <c r="N189" s="18">
        <f t="shared" si="77"/>
        <v>44.424533333333336</v>
      </c>
      <c r="O189" s="18">
        <f t="shared" si="77"/>
        <v>43.43813333333334</v>
      </c>
      <c r="P189" s="18">
        <f t="shared" si="77"/>
        <v>42.451733333333337</v>
      </c>
      <c r="Q189" s="18">
        <f t="shared" si="77"/>
        <v>41.465333333333334</v>
      </c>
      <c r="R189" s="18">
        <f t="shared" si="77"/>
        <v>40.478933333333337</v>
      </c>
      <c r="S189" s="18">
        <f t="shared" si="77"/>
        <v>39.492533333333334</v>
      </c>
      <c r="T189" s="18">
        <f t="shared" si="77"/>
        <v>38.506133333333338</v>
      </c>
      <c r="U189" s="18">
        <f t="shared" si="77"/>
        <v>37.519733333333335</v>
      </c>
      <c r="V189" s="18">
        <f t="shared" si="77"/>
        <v>36.533333333333331</v>
      </c>
    </row>
    <row r="190" spans="1:22" s="18" customFormat="1" x14ac:dyDescent="0.25"/>
    <row r="191" spans="1:22" s="18" customFormat="1" x14ac:dyDescent="0.25">
      <c r="E191" s="18" t="s">
        <v>15</v>
      </c>
      <c r="F191" s="19">
        <f>NPV(C189,F189:V189)</f>
        <v>477.9866230041809</v>
      </c>
    </row>
  </sheetData>
  <hyperlinks>
    <hyperlink ref="B5" r:id="rId1" xr:uid="{721B32F8-1205-4E12-BD54-D9BEDA265354}"/>
    <hyperlink ref="P25" r:id="rId2" xr:uid="{A243F8EE-4431-4721-976D-BAE849103AC0}"/>
    <hyperlink ref="C20" r:id="rId3" xr:uid="{7C39D05D-CF5E-4840-AC59-D4E679AAC78B}"/>
    <hyperlink ref="B59" r:id="rId4" xr:uid="{6679FDA5-3D8B-45D8-A825-10060AC0A094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32639-ACD2-4F5A-B3B6-D1C2723DB1C5}">
  <dimension ref="A1:AF226"/>
  <sheetViews>
    <sheetView topLeftCell="A166" workbookViewId="0">
      <selection activeCell="E159" sqref="E159"/>
    </sheetView>
  </sheetViews>
  <sheetFormatPr defaultRowHeight="15" x14ac:dyDescent="0.25"/>
  <cols>
    <col min="2" max="2" width="10" bestFit="1" customWidth="1"/>
    <col min="5" max="5" width="18" bestFit="1" customWidth="1"/>
    <col min="6" max="6" width="10.140625" customWidth="1"/>
    <col min="19" max="19" width="10.140625" customWidth="1"/>
  </cols>
  <sheetData>
    <row r="1" spans="1:32" x14ac:dyDescent="0.25">
      <c r="A1" s="1" t="s">
        <v>266</v>
      </c>
    </row>
    <row r="3" spans="1:32" s="29" customFormat="1" x14ac:dyDescent="0.25">
      <c r="A3" s="28" t="s">
        <v>30</v>
      </c>
    </row>
    <row r="4" spans="1:32" s="29" customFormat="1" x14ac:dyDescent="0.25"/>
    <row r="5" spans="1:32" s="29" customFormat="1" x14ac:dyDescent="0.25">
      <c r="A5" s="29" t="s">
        <v>267</v>
      </c>
    </row>
    <row r="7" spans="1:32" s="8" customFormat="1" x14ac:dyDescent="0.25">
      <c r="A7" s="7" t="s">
        <v>31</v>
      </c>
    </row>
    <row r="8" spans="1:32" s="8" customFormat="1" x14ac:dyDescent="0.25"/>
    <row r="9" spans="1:32" s="8" customFormat="1" x14ac:dyDescent="0.25">
      <c r="A9" s="8" t="s">
        <v>268</v>
      </c>
    </row>
    <row r="11" spans="1:32" s="13" customFormat="1" x14ac:dyDescent="0.25">
      <c r="A11" s="12" t="s">
        <v>32</v>
      </c>
    </row>
    <row r="12" spans="1:32" s="13" customFormat="1" x14ac:dyDescent="0.25">
      <c r="E12" s="13" t="s">
        <v>3</v>
      </c>
      <c r="H12" s="13">
        <v>2012</v>
      </c>
      <c r="I12" s="13">
        <f>H12+1</f>
        <v>2013</v>
      </c>
      <c r="J12" s="13">
        <f t="shared" ref="J12:AF12" si="0">I12+1</f>
        <v>2014</v>
      </c>
      <c r="K12" s="13">
        <f t="shared" si="0"/>
        <v>2015</v>
      </c>
      <c r="L12" s="13">
        <f t="shared" si="0"/>
        <v>2016</v>
      </c>
      <c r="M12" s="13">
        <f t="shared" si="0"/>
        <v>2017</v>
      </c>
      <c r="N12" s="13">
        <f t="shared" si="0"/>
        <v>2018</v>
      </c>
      <c r="O12" s="13">
        <f t="shared" si="0"/>
        <v>2019</v>
      </c>
      <c r="P12" s="13">
        <f t="shared" si="0"/>
        <v>2020</v>
      </c>
      <c r="Q12" s="13">
        <f t="shared" si="0"/>
        <v>2021</v>
      </c>
      <c r="R12" s="13">
        <f t="shared" si="0"/>
        <v>2022</v>
      </c>
      <c r="S12" s="13">
        <f t="shared" si="0"/>
        <v>2023</v>
      </c>
      <c r="T12" s="13">
        <f t="shared" si="0"/>
        <v>2024</v>
      </c>
      <c r="U12" s="13">
        <f t="shared" si="0"/>
        <v>2025</v>
      </c>
      <c r="V12" s="13">
        <f t="shared" si="0"/>
        <v>2026</v>
      </c>
      <c r="W12" s="13">
        <f t="shared" si="0"/>
        <v>2027</v>
      </c>
      <c r="X12" s="13">
        <f t="shared" si="0"/>
        <v>2028</v>
      </c>
      <c r="Y12" s="13">
        <f t="shared" si="0"/>
        <v>2029</v>
      </c>
      <c r="Z12" s="13">
        <f t="shared" si="0"/>
        <v>2030</v>
      </c>
      <c r="AA12" s="13">
        <f t="shared" si="0"/>
        <v>2031</v>
      </c>
      <c r="AB12" s="13">
        <f t="shared" si="0"/>
        <v>2032</v>
      </c>
      <c r="AC12" s="13">
        <f t="shared" si="0"/>
        <v>2033</v>
      </c>
      <c r="AD12" s="13">
        <f t="shared" si="0"/>
        <v>2034</v>
      </c>
      <c r="AE12" s="13">
        <f t="shared" si="0"/>
        <v>2035</v>
      </c>
      <c r="AF12" s="13">
        <f t="shared" si="0"/>
        <v>2036</v>
      </c>
    </row>
    <row r="13" spans="1:32" s="13" customFormat="1" x14ac:dyDescent="0.25">
      <c r="A13" s="12" t="s">
        <v>90</v>
      </c>
      <c r="E13" s="45" t="s">
        <v>275</v>
      </c>
      <c r="S13" s="13">
        <v>0</v>
      </c>
      <c r="T13" s="13">
        <v>243.38969780219779</v>
      </c>
      <c r="U13" s="13">
        <v>156.65450007692309</v>
      </c>
      <c r="V13" s="13">
        <v>402.8258573406593</v>
      </c>
      <c r="W13" s="13">
        <v>547.17178955439545</v>
      </c>
      <c r="X13" s="13">
        <v>691.51772176813165</v>
      </c>
      <c r="Y13" s="13">
        <v>1743.3407937131865</v>
      </c>
      <c r="Z13" s="13">
        <v>1098.6963362894999</v>
      </c>
      <c r="AA13" s="13">
        <v>609.71050390653295</v>
      </c>
      <c r="AB13" s="13">
        <v>609.71050390653295</v>
      </c>
      <c r="AC13" s="13">
        <v>609.71050390653295</v>
      </c>
      <c r="AD13" s="13">
        <v>5330.4491052960166</v>
      </c>
      <c r="AE13" s="13">
        <v>4499.6207745309066</v>
      </c>
      <c r="AF13" s="13">
        <v>3524.726251730769</v>
      </c>
    </row>
    <row r="14" spans="1:32" s="13" customFormat="1" x14ac:dyDescent="0.25">
      <c r="A14" s="12" t="s">
        <v>274</v>
      </c>
      <c r="E14" s="45" t="s">
        <v>275</v>
      </c>
      <c r="S14" s="13">
        <v>0</v>
      </c>
      <c r="T14" s="13">
        <f>T15-T13</f>
        <v>0</v>
      </c>
      <c r="U14" s="13">
        <f t="shared" ref="U14:AF14" si="1">U15-U13</f>
        <v>0</v>
      </c>
      <c r="V14" s="13">
        <f t="shared" si="1"/>
        <v>0</v>
      </c>
      <c r="W14" s="13">
        <f t="shared" si="1"/>
        <v>0</v>
      </c>
      <c r="X14" s="13">
        <f t="shared" si="1"/>
        <v>0</v>
      </c>
      <c r="Y14" s="13">
        <f t="shared" si="1"/>
        <v>0</v>
      </c>
      <c r="Z14" s="13">
        <f t="shared" si="1"/>
        <v>80.565171468131894</v>
      </c>
      <c r="AA14" s="13">
        <f t="shared" si="1"/>
        <v>80.565171468131894</v>
      </c>
      <c r="AB14" s="13">
        <f t="shared" si="1"/>
        <v>80.565171468131894</v>
      </c>
      <c r="AC14" s="13">
        <f t="shared" si="1"/>
        <v>80.565171468131894</v>
      </c>
      <c r="AD14" s="13">
        <f t="shared" si="1"/>
        <v>201.41292867033007</v>
      </c>
      <c r="AE14" s="13">
        <f t="shared" si="1"/>
        <v>1556.3726170847685</v>
      </c>
      <c r="AF14" s="13">
        <f t="shared" si="1"/>
        <v>1220.6844039769721</v>
      </c>
    </row>
    <row r="15" spans="1:32" s="13" customFormat="1" x14ac:dyDescent="0.25">
      <c r="A15" s="12" t="s">
        <v>254</v>
      </c>
      <c r="S15" s="13">
        <v>0</v>
      </c>
      <c r="T15" s="13">
        <v>243.38969780219779</v>
      </c>
      <c r="U15" s="13">
        <v>156.65450007692309</v>
      </c>
      <c r="V15" s="13">
        <v>402.8258573406593</v>
      </c>
      <c r="W15" s="13">
        <v>547.17178955439545</v>
      </c>
      <c r="X15" s="13">
        <v>691.51772176813165</v>
      </c>
      <c r="Y15" s="13">
        <v>1743.3407937131865</v>
      </c>
      <c r="Z15" s="13">
        <v>1179.2615077576318</v>
      </c>
      <c r="AA15" s="13">
        <v>690.27567537466484</v>
      </c>
      <c r="AB15" s="13">
        <v>690.27567537466484</v>
      </c>
      <c r="AC15" s="13">
        <v>690.27567537466484</v>
      </c>
      <c r="AD15" s="13">
        <v>5531.8620339663466</v>
      </c>
      <c r="AE15" s="13">
        <v>6055.9933916156751</v>
      </c>
      <c r="AF15" s="13">
        <v>4745.4106557077412</v>
      </c>
    </row>
    <row r="16" spans="1:32" s="13" customFormat="1" x14ac:dyDescent="0.25"/>
    <row r="17" spans="1:32" s="13" customFormat="1" x14ac:dyDescent="0.25">
      <c r="A17" s="12" t="s">
        <v>269</v>
      </c>
      <c r="B17" s="13">
        <f>SUM(C21:C45)</f>
        <v>19471.174999999999</v>
      </c>
      <c r="P17" s="13" t="s">
        <v>14</v>
      </c>
      <c r="Q17" s="13">
        <v>0.05</v>
      </c>
      <c r="R17" s="13" t="s">
        <v>15</v>
      </c>
      <c r="S17" s="14">
        <f>NPV(Q17,S13:AF13)</f>
        <v>11873.320821878478</v>
      </c>
    </row>
    <row r="18" spans="1:32" s="13" customFormat="1" x14ac:dyDescent="0.25"/>
    <row r="19" spans="1:32" s="13" customFormat="1" x14ac:dyDescent="0.25">
      <c r="A19" s="12" t="s">
        <v>177</v>
      </c>
    </row>
    <row r="20" spans="1:32" s="13" customFormat="1" x14ac:dyDescent="0.25">
      <c r="B20" s="13" t="s">
        <v>270</v>
      </c>
      <c r="C20" s="13" t="s">
        <v>93</v>
      </c>
      <c r="D20" s="13" t="s">
        <v>94</v>
      </c>
      <c r="E20" s="13" t="s">
        <v>36</v>
      </c>
      <c r="F20" s="13" t="s">
        <v>95</v>
      </c>
      <c r="H20" s="13" t="s">
        <v>96</v>
      </c>
    </row>
    <row r="21" spans="1:32" s="13" customFormat="1" x14ac:dyDescent="0.25">
      <c r="A21" s="13" t="s">
        <v>98</v>
      </c>
      <c r="B21" s="13">
        <v>2024</v>
      </c>
      <c r="C21" s="13">
        <v>912</v>
      </c>
      <c r="D21" s="13">
        <v>7.75</v>
      </c>
      <c r="E21" s="13">
        <v>2015</v>
      </c>
      <c r="F21" s="13">
        <f>C21/B17</f>
        <v>4.6838467632282083E-2</v>
      </c>
      <c r="H21" s="13">
        <v>2.7E-2</v>
      </c>
      <c r="L21" s="13">
        <f>C21*(D21/100)</f>
        <v>70.679999999999993</v>
      </c>
      <c r="M21" s="13">
        <f>L21</f>
        <v>70.679999999999993</v>
      </c>
      <c r="N21" s="13">
        <f t="shared" ref="N21:Q35" si="2">M21</f>
        <v>70.679999999999993</v>
      </c>
      <c r="O21" s="13">
        <f t="shared" si="2"/>
        <v>70.679999999999993</v>
      </c>
      <c r="P21" s="13">
        <f t="shared" si="2"/>
        <v>70.679999999999993</v>
      </c>
      <c r="Q21" s="13">
        <f t="shared" si="2"/>
        <v>70.679999999999993</v>
      </c>
      <c r="R21" s="13">
        <f>Q21/2</f>
        <v>35.339999999999996</v>
      </c>
      <c r="S21" s="13">
        <v>0</v>
      </c>
      <c r="T21" s="13">
        <f>T13*0.046839</f>
        <v>11.400130055357142</v>
      </c>
      <c r="U21" s="13">
        <f t="shared" ref="U21:AF21" si="3">U13*0.046839</f>
        <v>7.337540129103</v>
      </c>
      <c r="V21" s="13">
        <f t="shared" si="3"/>
        <v>18.867960331979141</v>
      </c>
      <c r="W21" s="13">
        <f t="shared" si="3"/>
        <v>25.628979450938328</v>
      </c>
      <c r="X21" s="13">
        <f t="shared" si="3"/>
        <v>32.389998569897514</v>
      </c>
      <c r="Y21" s="13">
        <f t="shared" si="3"/>
        <v>81.65633943673194</v>
      </c>
      <c r="Z21" s="13">
        <f t="shared" si="3"/>
        <v>51.461837695463885</v>
      </c>
      <c r="AA21" s="13">
        <f t="shared" si="3"/>
        <v>28.558230292478097</v>
      </c>
      <c r="AB21" s="13">
        <f t="shared" si="3"/>
        <v>28.558230292478097</v>
      </c>
      <c r="AC21" s="13">
        <f t="shared" si="3"/>
        <v>28.558230292478097</v>
      </c>
      <c r="AD21" s="13">
        <f t="shared" si="3"/>
        <v>249.6729056429601</v>
      </c>
      <c r="AE21" s="13">
        <f t="shared" si="3"/>
        <v>210.75773745825313</v>
      </c>
      <c r="AF21" s="13">
        <f t="shared" si="3"/>
        <v>165.09465290481748</v>
      </c>
    </row>
    <row r="22" spans="1:32" s="13" customFormat="1" x14ac:dyDescent="0.25">
      <c r="A22" s="13" t="s">
        <v>15</v>
      </c>
      <c r="B22" s="14">
        <f>NPV(H21,L21:AF21)</f>
        <v>1000.0201956818378</v>
      </c>
    </row>
    <row r="23" spans="1:32" s="13" customFormat="1" x14ac:dyDescent="0.25">
      <c r="A23" s="13" t="s">
        <v>101</v>
      </c>
      <c r="B23" s="13">
        <v>2025</v>
      </c>
      <c r="C23" s="13">
        <v>1355</v>
      </c>
      <c r="D23" s="13">
        <v>7.75</v>
      </c>
      <c r="E23" s="13">
        <v>2015</v>
      </c>
      <c r="F23" s="13">
        <f>C23/B17</f>
        <v>6.9590047852787523E-2</v>
      </c>
      <c r="H23" s="13">
        <v>2.7E-2</v>
      </c>
      <c r="L23" s="13">
        <f>C23*(D23/100)</f>
        <v>105.0125</v>
      </c>
      <c r="M23" s="13">
        <f>L23</f>
        <v>105.0125</v>
      </c>
      <c r="N23" s="13">
        <f t="shared" si="2"/>
        <v>105.0125</v>
      </c>
      <c r="O23" s="13">
        <f t="shared" si="2"/>
        <v>105.0125</v>
      </c>
      <c r="P23" s="13">
        <f t="shared" si="2"/>
        <v>105.0125</v>
      </c>
      <c r="Q23" s="13">
        <f t="shared" si="2"/>
        <v>105.0125</v>
      </c>
      <c r="R23" s="13">
        <f>Q23/2</f>
        <v>52.506250000000001</v>
      </c>
      <c r="S23" s="13">
        <v>0</v>
      </c>
      <c r="T23" s="13">
        <f>T13*0.069591</f>
        <v>16.937732459752745</v>
      </c>
      <c r="U23" s="13">
        <f t="shared" ref="U23:AF23" si="4">U13*0.069591</f>
        <v>10.901743314853155</v>
      </c>
      <c r="V23" s="13">
        <f t="shared" si="4"/>
        <v>28.03305423819382</v>
      </c>
      <c r="W23" s="13">
        <f t="shared" si="4"/>
        <v>38.078232006879936</v>
      </c>
      <c r="X23" s="13">
        <f t="shared" si="4"/>
        <v>48.123409775566053</v>
      </c>
      <c r="Y23" s="13">
        <f t="shared" si="4"/>
        <v>121.32082917529436</v>
      </c>
      <c r="Z23" s="13">
        <f t="shared" si="4"/>
        <v>76.459376738722582</v>
      </c>
      <c r="AA23" s="13">
        <f t="shared" si="4"/>
        <v>42.430363677359537</v>
      </c>
      <c r="AB23" s="13">
        <f t="shared" si="4"/>
        <v>42.430363677359537</v>
      </c>
      <c r="AC23" s="13">
        <f t="shared" si="4"/>
        <v>42.430363677359537</v>
      </c>
      <c r="AD23" s="13">
        <f t="shared" si="4"/>
        <v>370.95128368665507</v>
      </c>
      <c r="AE23" s="13">
        <f t="shared" si="4"/>
        <v>313.1331093203803</v>
      </c>
      <c r="AF23" s="13">
        <f t="shared" si="4"/>
        <v>245.28922458419595</v>
      </c>
    </row>
    <row r="24" spans="1:32" s="13" customFormat="1" x14ac:dyDescent="0.25">
      <c r="A24" s="13" t="s">
        <v>15</v>
      </c>
      <c r="B24" s="14">
        <f>NPV(H23,L23:AF23)</f>
        <v>1485.7776292585859</v>
      </c>
    </row>
    <row r="25" spans="1:32" s="13" customFormat="1" x14ac:dyDescent="0.25">
      <c r="A25" s="13" t="s">
        <v>104</v>
      </c>
      <c r="B25" s="13">
        <v>2026</v>
      </c>
      <c r="C25" s="13">
        <v>750</v>
      </c>
      <c r="D25" s="13">
        <v>8.9939999999999998</v>
      </c>
      <c r="E25" s="13">
        <v>2018</v>
      </c>
      <c r="F25" s="13">
        <f>C25/B17</f>
        <v>3.8518476671284607E-2</v>
      </c>
      <c r="H25" s="13">
        <v>3.3000000000000002E-2</v>
      </c>
      <c r="O25" s="13">
        <f>C25*(D25/100)</f>
        <v>67.454999999999998</v>
      </c>
      <c r="P25" s="13">
        <f t="shared" si="2"/>
        <v>67.454999999999998</v>
      </c>
      <c r="Q25" s="13">
        <f t="shared" si="2"/>
        <v>67.454999999999998</v>
      </c>
      <c r="R25" s="13">
        <f>Q25/2</f>
        <v>33.727499999999999</v>
      </c>
      <c r="S25" s="13">
        <v>0</v>
      </c>
      <c r="T25" s="13">
        <f>T13*0.038519</f>
        <v>9.3751277696428552</v>
      </c>
      <c r="U25" s="13">
        <f t="shared" ref="U25:AF25" si="5">U13*0.038519</f>
        <v>6.0341746884629996</v>
      </c>
      <c r="V25" s="13">
        <f t="shared" si="5"/>
        <v>15.516449198904855</v>
      </c>
      <c r="W25" s="13">
        <f t="shared" si="5"/>
        <v>21.076510161845757</v>
      </c>
      <c r="X25" s="13">
        <f t="shared" si="5"/>
        <v>26.636571124786663</v>
      </c>
      <c r="Y25" s="13">
        <f t="shared" si="5"/>
        <v>67.151744033038227</v>
      </c>
      <c r="Z25" s="13">
        <f t="shared" si="5"/>
        <v>42.320684177535242</v>
      </c>
      <c r="AA25" s="13">
        <f t="shared" si="5"/>
        <v>23.48543889997574</v>
      </c>
      <c r="AB25" s="13">
        <f t="shared" si="5"/>
        <v>23.48543889997574</v>
      </c>
      <c r="AC25" s="13">
        <f t="shared" si="5"/>
        <v>23.48543889997574</v>
      </c>
      <c r="AD25" s="13">
        <f t="shared" si="5"/>
        <v>205.32356908689724</v>
      </c>
      <c r="AE25" s="13">
        <f t="shared" si="5"/>
        <v>173.32089261415598</v>
      </c>
      <c r="AF25" s="13">
        <f t="shared" si="5"/>
        <v>135.76893049041749</v>
      </c>
    </row>
    <row r="26" spans="1:32" s="13" customFormat="1" x14ac:dyDescent="0.25">
      <c r="A26" s="13" t="s">
        <v>15</v>
      </c>
      <c r="B26" s="14">
        <f>NPV(H25,O25:AF25)</f>
        <v>696.81217091496114</v>
      </c>
    </row>
    <row r="27" spans="1:32" s="13" customFormat="1" x14ac:dyDescent="0.25">
      <c r="A27" s="13" t="s">
        <v>107</v>
      </c>
      <c r="B27" s="13">
        <v>2026</v>
      </c>
      <c r="C27" s="13">
        <v>1340</v>
      </c>
      <c r="D27" s="13">
        <v>7.75</v>
      </c>
      <c r="E27" s="13">
        <v>2015</v>
      </c>
      <c r="F27" s="13">
        <f>C27/B17</f>
        <v>6.8819678319361824E-2</v>
      </c>
      <c r="H27" s="13">
        <v>2.7E-2</v>
      </c>
      <c r="L27" s="13">
        <f>C27*(D27/100)</f>
        <v>103.85</v>
      </c>
      <c r="M27" s="13">
        <f>L27</f>
        <v>103.85</v>
      </c>
      <c r="N27" s="13">
        <f t="shared" si="2"/>
        <v>103.85</v>
      </c>
      <c r="O27" s="13">
        <f t="shared" si="2"/>
        <v>103.85</v>
      </c>
      <c r="P27" s="13">
        <f t="shared" si="2"/>
        <v>103.85</v>
      </c>
      <c r="Q27" s="13">
        <f t="shared" si="2"/>
        <v>103.85</v>
      </c>
      <c r="R27" s="13">
        <f>Q27/2</f>
        <v>51.924999999999997</v>
      </c>
      <c r="S27" s="13">
        <v>0</v>
      </c>
      <c r="T27" s="13">
        <f>T13*0.06882</f>
        <v>16.750079002747253</v>
      </c>
      <c r="U27" s="13">
        <f t="shared" ref="U27:AF27" si="6">U13*0.06882</f>
        <v>10.780962695293848</v>
      </c>
      <c r="V27" s="13">
        <f t="shared" si="6"/>
        <v>27.722475502184174</v>
      </c>
      <c r="W27" s="13">
        <f t="shared" si="6"/>
        <v>37.656362557133498</v>
      </c>
      <c r="X27" s="13">
        <f t="shared" si="6"/>
        <v>47.590249612082822</v>
      </c>
      <c r="Y27" s="13">
        <f t="shared" si="6"/>
        <v>119.97671342334151</v>
      </c>
      <c r="Z27" s="13">
        <f t="shared" si="6"/>
        <v>75.612281863443386</v>
      </c>
      <c r="AA27" s="13">
        <f t="shared" si="6"/>
        <v>41.960276878847601</v>
      </c>
      <c r="AB27" s="13">
        <f t="shared" si="6"/>
        <v>41.960276878847601</v>
      </c>
      <c r="AC27" s="13">
        <f t="shared" si="6"/>
        <v>41.960276878847601</v>
      </c>
      <c r="AD27" s="13">
        <f t="shared" si="6"/>
        <v>366.84150742647188</v>
      </c>
      <c r="AE27" s="13">
        <f t="shared" si="6"/>
        <v>309.66390170321699</v>
      </c>
      <c r="AF27" s="13">
        <f t="shared" si="6"/>
        <v>242.57166064411155</v>
      </c>
    </row>
    <row r="28" spans="1:32" s="13" customFormat="1" x14ac:dyDescent="0.25">
      <c r="A28" s="13" t="s">
        <v>15</v>
      </c>
      <c r="B28" s="14">
        <f>NPV(H27,L27:AF27)</f>
        <v>1469.3221774431147</v>
      </c>
    </row>
    <row r="29" spans="1:32" s="13" customFormat="1" x14ac:dyDescent="0.25">
      <c r="A29" s="13" t="s">
        <v>109</v>
      </c>
      <c r="B29" s="13">
        <v>2027</v>
      </c>
      <c r="C29" s="13">
        <v>1330</v>
      </c>
      <c r="D29" s="13">
        <v>7.75</v>
      </c>
      <c r="E29" s="13">
        <v>2015</v>
      </c>
      <c r="F29" s="13">
        <f>C29/B17</f>
        <v>6.8306098630411372E-2</v>
      </c>
      <c r="H29" s="13">
        <v>2.7E-2</v>
      </c>
      <c r="L29" s="13">
        <f>C29*(D29/100)</f>
        <v>103.075</v>
      </c>
      <c r="M29" s="13">
        <f>L29</f>
        <v>103.075</v>
      </c>
      <c r="N29" s="13">
        <f t="shared" si="2"/>
        <v>103.075</v>
      </c>
      <c r="O29" s="13">
        <f t="shared" si="2"/>
        <v>103.075</v>
      </c>
      <c r="P29" s="13">
        <f t="shared" si="2"/>
        <v>103.075</v>
      </c>
      <c r="Q29" s="13">
        <f t="shared" si="2"/>
        <v>103.075</v>
      </c>
      <c r="R29" s="13">
        <f>Q29/2</f>
        <v>51.537500000000001</v>
      </c>
      <c r="S29" s="13">
        <v>0</v>
      </c>
      <c r="T29" s="13">
        <f>T13*0.068307</f>
        <v>16.625220087774725</v>
      </c>
      <c r="U29" s="13">
        <f t="shared" ref="U29:AF29" si="7">U13*0.068307</f>
        <v>10.700598936754385</v>
      </c>
      <c r="V29" s="13">
        <f t="shared" si="7"/>
        <v>27.515825837368418</v>
      </c>
      <c r="W29" s="13">
        <f t="shared" si="7"/>
        <v>37.375663429092093</v>
      </c>
      <c r="X29" s="13">
        <f t="shared" si="7"/>
        <v>47.235501020815775</v>
      </c>
      <c r="Y29" s="13">
        <f t="shared" si="7"/>
        <v>119.08237959616665</v>
      </c>
      <c r="Z29" s="13">
        <f t="shared" si="7"/>
        <v>75.048650642926873</v>
      </c>
      <c r="AA29" s="13">
        <f t="shared" si="7"/>
        <v>41.647495390343551</v>
      </c>
      <c r="AB29" s="13">
        <f t="shared" si="7"/>
        <v>41.647495390343551</v>
      </c>
      <c r="AC29" s="13">
        <f t="shared" si="7"/>
        <v>41.647495390343551</v>
      </c>
      <c r="AD29" s="13">
        <f t="shared" si="7"/>
        <v>364.10698703545506</v>
      </c>
      <c r="AE29" s="13">
        <f t="shared" si="7"/>
        <v>307.35559624588268</v>
      </c>
      <c r="AF29" s="13">
        <f t="shared" si="7"/>
        <v>240.76347607697366</v>
      </c>
    </row>
    <row r="30" spans="1:32" s="13" customFormat="1" x14ac:dyDescent="0.25">
      <c r="A30" s="13" t="s">
        <v>15</v>
      </c>
      <c r="B30" s="14">
        <f>NPV(H29,L29:AF29)</f>
        <v>1458.3643438174254</v>
      </c>
    </row>
    <row r="31" spans="1:32" s="13" customFormat="1" x14ac:dyDescent="0.25">
      <c r="A31" s="13" t="s">
        <v>111</v>
      </c>
      <c r="B31" s="13">
        <v>2028</v>
      </c>
      <c r="C31" s="13">
        <v>1450.549</v>
      </c>
      <c r="D31" s="13">
        <v>7.75</v>
      </c>
      <c r="E31" s="13">
        <v>2015</v>
      </c>
      <c r="F31" s="13">
        <f>C31/B17</f>
        <v>7.4497250422740288E-2</v>
      </c>
      <c r="G31" s="13" t="s">
        <v>271</v>
      </c>
      <c r="H31" s="13">
        <v>1.2999999999999999E-2</v>
      </c>
      <c r="L31" s="13">
        <f>C31*(D31/100)</f>
        <v>112.4175475</v>
      </c>
      <c r="M31" s="13">
        <f>L31</f>
        <v>112.4175475</v>
      </c>
      <c r="N31" s="13">
        <f t="shared" si="2"/>
        <v>112.4175475</v>
      </c>
      <c r="O31" s="13">
        <f t="shared" si="2"/>
        <v>112.4175475</v>
      </c>
      <c r="P31" s="13">
        <f t="shared" si="2"/>
        <v>112.4175475</v>
      </c>
      <c r="Q31" s="13">
        <f t="shared" si="2"/>
        <v>112.4175475</v>
      </c>
      <c r="R31" s="13">
        <f>Q31/2</f>
        <v>56.208773749999999</v>
      </c>
      <c r="S31" s="13">
        <v>0</v>
      </c>
      <c r="T31" s="13">
        <f>T13*0.074498</f>
        <v>18.13204570686813</v>
      </c>
      <c r="U31" s="13">
        <f t="shared" ref="U31:AF31" si="8">U13*0.074498</f>
        <v>11.670446946730616</v>
      </c>
      <c r="V31" s="13">
        <f t="shared" si="8"/>
        <v>30.009720720164434</v>
      </c>
      <c r="W31" s="13">
        <f t="shared" si="8"/>
        <v>40.763203978223352</v>
      </c>
      <c r="X31" s="13">
        <f t="shared" si="8"/>
        <v>51.516687236282266</v>
      </c>
      <c r="Y31" s="13">
        <f t="shared" si="8"/>
        <v>129.87540245004496</v>
      </c>
      <c r="Z31" s="13">
        <f t="shared" si="8"/>
        <v>81.850679660895153</v>
      </c>
      <c r="AA31" s="13">
        <f t="shared" si="8"/>
        <v>45.422213120028886</v>
      </c>
      <c r="AB31" s="13">
        <f t="shared" si="8"/>
        <v>45.422213120028886</v>
      </c>
      <c r="AC31" s="13">
        <f t="shared" si="8"/>
        <v>45.422213120028886</v>
      </c>
      <c r="AD31" s="13">
        <f t="shared" si="8"/>
        <v>397.1077974463426</v>
      </c>
      <c r="AE31" s="13">
        <f t="shared" si="8"/>
        <v>335.21274846100346</v>
      </c>
      <c r="AF31" s="13">
        <f t="shared" si="8"/>
        <v>262.58505630143884</v>
      </c>
    </row>
    <row r="32" spans="1:32" s="13" customFormat="1" x14ac:dyDescent="0.25">
      <c r="A32" s="13" t="s">
        <v>15</v>
      </c>
      <c r="B32" s="14">
        <f>NPV(H31,L31:AF31)</f>
        <v>1882.1253440865339</v>
      </c>
    </row>
    <row r="33" spans="1:32" s="13" customFormat="1" x14ac:dyDescent="0.25">
      <c r="A33" s="13" t="s">
        <v>113</v>
      </c>
      <c r="B33" s="13">
        <v>2029</v>
      </c>
      <c r="C33" s="13">
        <v>1310</v>
      </c>
      <c r="D33" s="13">
        <v>7.75</v>
      </c>
      <c r="E33" s="13">
        <v>2015</v>
      </c>
      <c r="F33" s="13">
        <f>C33/B17</f>
        <v>6.7278939252510439E-2</v>
      </c>
      <c r="H33" s="13">
        <v>2.7E-2</v>
      </c>
      <c r="L33" s="13">
        <f>C33*(D33/100)</f>
        <v>101.52500000000001</v>
      </c>
      <c r="M33" s="13">
        <f>L33</f>
        <v>101.52500000000001</v>
      </c>
      <c r="N33" s="13">
        <f t="shared" si="2"/>
        <v>101.52500000000001</v>
      </c>
      <c r="O33" s="13">
        <f t="shared" si="2"/>
        <v>101.52500000000001</v>
      </c>
      <c r="P33" s="13">
        <f t="shared" si="2"/>
        <v>101.52500000000001</v>
      </c>
      <c r="Q33" s="13">
        <f t="shared" si="2"/>
        <v>101.52500000000001</v>
      </c>
      <c r="R33" s="13">
        <f>Q33/2</f>
        <v>50.762500000000003</v>
      </c>
      <c r="S33" s="13">
        <v>0</v>
      </c>
      <c r="T33" s="13">
        <f>T13*0.06728</f>
        <v>16.375258868131869</v>
      </c>
      <c r="U33" s="13">
        <f t="shared" ref="U33:AF33" si="9">U13*0.06728</f>
        <v>10.539714765175386</v>
      </c>
      <c r="V33" s="13">
        <f t="shared" si="9"/>
        <v>27.102123681879561</v>
      </c>
      <c r="W33" s="13">
        <f t="shared" si="9"/>
        <v>36.813718001219726</v>
      </c>
      <c r="X33" s="13">
        <f t="shared" si="9"/>
        <v>46.525312320559905</v>
      </c>
      <c r="Y33" s="13">
        <f t="shared" si="9"/>
        <v>117.2919686010232</v>
      </c>
      <c r="Z33" s="13">
        <f t="shared" si="9"/>
        <v>73.920289505557562</v>
      </c>
      <c r="AA33" s="13">
        <f t="shared" si="9"/>
        <v>41.02132270283154</v>
      </c>
      <c r="AB33" s="13">
        <f t="shared" si="9"/>
        <v>41.02132270283154</v>
      </c>
      <c r="AC33" s="13">
        <f t="shared" si="9"/>
        <v>41.02132270283154</v>
      </c>
      <c r="AD33" s="13">
        <f t="shared" si="9"/>
        <v>358.632615804316</v>
      </c>
      <c r="AE33" s="13">
        <f t="shared" si="9"/>
        <v>302.7344857104394</v>
      </c>
      <c r="AF33" s="13">
        <f t="shared" si="9"/>
        <v>237.14358221644616</v>
      </c>
    </row>
    <row r="34" spans="1:32" s="13" customFormat="1" x14ac:dyDescent="0.25">
      <c r="A34" s="13" t="s">
        <v>15</v>
      </c>
      <c r="B34" s="14">
        <f>NPV(H33,L33:AF33)</f>
        <v>1436.4362089814215</v>
      </c>
    </row>
    <row r="35" spans="1:32" s="13" customFormat="1" x14ac:dyDescent="0.25">
      <c r="A35" s="13" t="s">
        <v>115</v>
      </c>
      <c r="B35" s="13">
        <v>2030</v>
      </c>
      <c r="C35" s="13">
        <v>1600</v>
      </c>
      <c r="D35" s="13">
        <v>9.75</v>
      </c>
      <c r="E35" s="13">
        <v>2018</v>
      </c>
      <c r="F35" s="13">
        <f>C35/B17</f>
        <v>8.2172750232073821E-2</v>
      </c>
      <c r="H35" s="13">
        <v>3.3000000000000002E-2</v>
      </c>
      <c r="O35" s="13">
        <f>C35*(D35/100)</f>
        <v>156</v>
      </c>
      <c r="P35" s="13">
        <f t="shared" si="2"/>
        <v>156</v>
      </c>
      <c r="Q35" s="13">
        <f t="shared" si="2"/>
        <v>156</v>
      </c>
      <c r="R35" s="13">
        <f>Q35/2</f>
        <v>78</v>
      </c>
      <c r="S35" s="13">
        <v>0</v>
      </c>
      <c r="T35" s="13">
        <f>T13*0.082173</f>
        <v>20.000061637499996</v>
      </c>
      <c r="U35" s="13">
        <f t="shared" ref="U35:AF35" si="10">U13*0.082173</f>
        <v>12.872770234821001</v>
      </c>
      <c r="V35" s="13">
        <f t="shared" si="10"/>
        <v>33.101409175253998</v>
      </c>
      <c r="W35" s="13">
        <f t="shared" si="10"/>
        <v>44.962747463053333</v>
      </c>
      <c r="X35" s="13">
        <f t="shared" si="10"/>
        <v>56.824085750852682</v>
      </c>
      <c r="Y35" s="13">
        <f t="shared" si="10"/>
        <v>143.25554304179366</v>
      </c>
      <c r="Z35" s="13">
        <f t="shared" si="10"/>
        <v>90.283174041917064</v>
      </c>
      <c r="AA35" s="13">
        <f t="shared" si="10"/>
        <v>50.101741237511533</v>
      </c>
      <c r="AB35" s="13">
        <f t="shared" si="10"/>
        <v>50.101741237511533</v>
      </c>
      <c r="AC35" s="13">
        <f t="shared" si="10"/>
        <v>50.101741237511533</v>
      </c>
      <c r="AD35" s="13">
        <f t="shared" si="10"/>
        <v>438.01899432948954</v>
      </c>
      <c r="AE35" s="13">
        <f t="shared" si="10"/>
        <v>369.74733790552818</v>
      </c>
      <c r="AF35" s="13">
        <f t="shared" si="10"/>
        <v>289.63733028347247</v>
      </c>
    </row>
    <row r="36" spans="1:32" s="13" customFormat="1" x14ac:dyDescent="0.25">
      <c r="A36" s="13" t="s">
        <v>15</v>
      </c>
      <c r="B36" s="14">
        <f>NPV(H35,L35:AF35)</f>
        <v>1525.8517917861209</v>
      </c>
    </row>
    <row r="37" spans="1:32" s="13" customFormat="1" x14ac:dyDescent="0.25">
      <c r="A37" s="13" t="s">
        <v>118</v>
      </c>
      <c r="B37" s="13">
        <v>2031</v>
      </c>
      <c r="C37" s="13">
        <v>1750</v>
      </c>
      <c r="D37" s="13">
        <v>6.8760000000000003</v>
      </c>
      <c r="E37" s="13">
        <v>2021</v>
      </c>
      <c r="F37" s="13">
        <f>C37/B17</f>
        <v>8.9876445566330745E-2</v>
      </c>
      <c r="H37" s="13">
        <v>1.9E-2</v>
      </c>
      <c r="Q37" s="13">
        <f>(C37*(D37/100))/2</f>
        <v>60.164999999999999</v>
      </c>
      <c r="R37" s="13">
        <f>Q37</f>
        <v>60.164999999999999</v>
      </c>
      <c r="S37" s="13">
        <v>0</v>
      </c>
      <c r="T37" s="13">
        <f>T13*0.089877</f>
        <v>21.87513586936813</v>
      </c>
      <c r="U37" s="13">
        <f t="shared" ref="U37:AF37" si="11">U13*0.089877</f>
        <v>14.079636503413616</v>
      </c>
      <c r="V37" s="13">
        <f t="shared" si="11"/>
        <v>36.204779580206434</v>
      </c>
      <c r="W37" s="13">
        <f t="shared" si="11"/>
        <v>49.178158929780402</v>
      </c>
      <c r="X37" s="13">
        <f t="shared" si="11"/>
        <v>62.151538279354369</v>
      </c>
      <c r="Y37" s="13">
        <f t="shared" si="11"/>
        <v>156.68624051656005</v>
      </c>
      <c r="Z37" s="13">
        <f t="shared" si="11"/>
        <v>98.747530616691378</v>
      </c>
      <c r="AA37" s="13">
        <f t="shared" si="11"/>
        <v>54.79895095960746</v>
      </c>
      <c r="AB37" s="13">
        <f t="shared" si="11"/>
        <v>54.79895095960746</v>
      </c>
      <c r="AC37" s="13">
        <f t="shared" si="11"/>
        <v>54.79895095960746</v>
      </c>
      <c r="AD37" s="13">
        <f t="shared" si="11"/>
        <v>479.08477423669007</v>
      </c>
      <c r="AE37" s="13">
        <f t="shared" si="11"/>
        <v>404.4124163525143</v>
      </c>
      <c r="AF37" s="13">
        <f t="shared" si="11"/>
        <v>316.79182132680631</v>
      </c>
    </row>
    <row r="38" spans="1:32" s="13" customFormat="1" x14ac:dyDescent="0.25">
      <c r="A38" s="13" t="s">
        <v>15</v>
      </c>
      <c r="B38" s="14">
        <f>NPV(H37,Q37:AF37)</f>
        <v>1531.7121466250019</v>
      </c>
    </row>
    <row r="39" spans="1:32" s="13" customFormat="1" x14ac:dyDescent="0.25">
      <c r="A39" s="13" t="s">
        <v>120</v>
      </c>
      <c r="B39" s="13">
        <v>2032</v>
      </c>
      <c r="C39" s="13">
        <v>1373.626</v>
      </c>
      <c r="D39" s="13">
        <v>4.375</v>
      </c>
      <c r="E39" s="13">
        <v>2020</v>
      </c>
      <c r="F39" s="13">
        <f>C39/B17</f>
        <v>7.0546641381426647E-2</v>
      </c>
      <c r="G39" s="13" t="s">
        <v>271</v>
      </c>
      <c r="H39" s="13">
        <v>0</v>
      </c>
      <c r="P39" s="13">
        <f>(C39*(D39/100))/2</f>
        <v>30.048068749999999</v>
      </c>
      <c r="Q39" s="13">
        <f>C39*(D39/100)</f>
        <v>60.096137499999998</v>
      </c>
      <c r="R39" s="13">
        <f t="shared" ref="R39" si="12">Q39/2</f>
        <v>30.048068749999999</v>
      </c>
      <c r="S39" s="13">
        <v>0</v>
      </c>
      <c r="T39" s="13">
        <f>T13*0.070547</f>
        <v>17.170413010851647</v>
      </c>
      <c r="U39" s="13">
        <f t="shared" ref="U39:AF39" si="13">U13*0.070547</f>
        <v>11.051505016926694</v>
      </c>
      <c r="V39" s="13">
        <f t="shared" si="13"/>
        <v>28.418155757811491</v>
      </c>
      <c r="W39" s="13">
        <f t="shared" si="13"/>
        <v>38.601328237693934</v>
      </c>
      <c r="X39" s="13">
        <f t="shared" si="13"/>
        <v>48.784500717576385</v>
      </c>
      <c r="Y39" s="13">
        <f t="shared" si="13"/>
        <v>122.98746297408417</v>
      </c>
      <c r="Z39" s="13">
        <f t="shared" si="13"/>
        <v>77.509730436215349</v>
      </c>
      <c r="AA39" s="13">
        <f t="shared" si="13"/>
        <v>43.013246919094179</v>
      </c>
      <c r="AB39" s="13">
        <f t="shared" si="13"/>
        <v>43.013246919094179</v>
      </c>
      <c r="AC39" s="13">
        <f t="shared" si="13"/>
        <v>43.013246919094179</v>
      </c>
      <c r="AD39" s="13">
        <f t="shared" si="13"/>
        <v>376.04719303131805</v>
      </c>
      <c r="AE39" s="13">
        <f t="shared" si="13"/>
        <v>317.43474678083186</v>
      </c>
      <c r="AF39" s="13">
        <f t="shared" si="13"/>
        <v>248.65886288085056</v>
      </c>
    </row>
    <row r="40" spans="1:32" s="13" customFormat="1" x14ac:dyDescent="0.25">
      <c r="A40" s="13" t="s">
        <v>15</v>
      </c>
      <c r="B40" s="14">
        <f>NPV(H39,P39:AF39)</f>
        <v>1535.8959146014427</v>
      </c>
    </row>
    <row r="41" spans="1:32" s="13" customFormat="1" x14ac:dyDescent="0.25">
      <c r="A41" s="13" t="s">
        <v>122</v>
      </c>
      <c r="B41" s="13">
        <v>2034</v>
      </c>
      <c r="C41" s="13">
        <v>3000</v>
      </c>
      <c r="D41" s="13">
        <v>7.375</v>
      </c>
      <c r="E41" s="13">
        <v>2017</v>
      </c>
      <c r="F41" s="13">
        <f>C41/B17</f>
        <v>0.15407390668513843</v>
      </c>
      <c r="H41" s="13">
        <v>2.5000000000000001E-2</v>
      </c>
      <c r="N41" s="13">
        <f>C41*(D41/100)</f>
        <v>221.25</v>
      </c>
      <c r="O41" s="13">
        <f t="shared" ref="O41:Q41" si="14">N41</f>
        <v>221.25</v>
      </c>
      <c r="P41" s="13">
        <f t="shared" si="14"/>
        <v>221.25</v>
      </c>
      <c r="Q41" s="13">
        <f t="shared" si="14"/>
        <v>221.25</v>
      </c>
      <c r="R41" s="13">
        <f t="shared" ref="R41" si="15">Q41/2</f>
        <v>110.625</v>
      </c>
      <c r="S41" s="13">
        <v>0</v>
      </c>
      <c r="T41" s="13">
        <f>T13*0.154075</f>
        <v>37.50026768887362</v>
      </c>
      <c r="U41" s="13">
        <f t="shared" ref="U41:AF41" si="16">U13*0.154075</f>
        <v>24.136542099351924</v>
      </c>
      <c r="V41" s="13">
        <f t="shared" si="16"/>
        <v>62.065393969762077</v>
      </c>
      <c r="W41" s="13">
        <f t="shared" si="16"/>
        <v>84.30549347559348</v>
      </c>
      <c r="X41" s="13">
        <f t="shared" si="16"/>
        <v>106.54559298142487</v>
      </c>
      <c r="Y41" s="13">
        <f t="shared" si="16"/>
        <v>268.60523279135919</v>
      </c>
      <c r="Z41" s="13">
        <f t="shared" si="16"/>
        <v>169.28163801380467</v>
      </c>
      <c r="AA41" s="13">
        <f t="shared" si="16"/>
        <v>93.941145889399053</v>
      </c>
      <c r="AB41" s="13">
        <f t="shared" si="16"/>
        <v>93.941145889399053</v>
      </c>
      <c r="AC41" s="13">
        <f t="shared" si="16"/>
        <v>93.941145889399053</v>
      </c>
      <c r="AD41" s="13">
        <f t="shared" si="16"/>
        <v>821.28894589848369</v>
      </c>
      <c r="AE41" s="13">
        <f t="shared" si="16"/>
        <v>693.27907083584944</v>
      </c>
      <c r="AF41" s="13">
        <f t="shared" si="16"/>
        <v>543.07219723541823</v>
      </c>
    </row>
    <row r="42" spans="1:32" s="13" customFormat="1" x14ac:dyDescent="0.25">
      <c r="A42" s="13" t="s">
        <v>15</v>
      </c>
      <c r="B42" s="14">
        <f>NPV(H41,L41:AF41)</f>
        <v>3019.343767000204</v>
      </c>
    </row>
    <row r="43" spans="1:32" s="13" customFormat="1" x14ac:dyDescent="0.25">
      <c r="A43" s="13" t="s">
        <v>124</v>
      </c>
      <c r="B43" s="13">
        <v>2035</v>
      </c>
      <c r="C43" s="13">
        <v>2600</v>
      </c>
      <c r="D43" s="13">
        <v>7.2530000000000001</v>
      </c>
      <c r="E43" s="13">
        <v>2020</v>
      </c>
      <c r="F43" s="13">
        <f>C43/B17</f>
        <v>0.13353071912711997</v>
      </c>
      <c r="H43" s="13">
        <v>8.0000000000000002E-3</v>
      </c>
      <c r="Q43" s="13">
        <f>C43*(D43/100)</f>
        <v>188.578</v>
      </c>
      <c r="R43" s="13">
        <f t="shared" ref="R43" si="17">Q43/2</f>
        <v>94.289000000000001</v>
      </c>
      <c r="S43" s="13">
        <v>0</v>
      </c>
      <c r="T43" s="13">
        <f>T13*0.133532</f>
        <v>32.500313126923075</v>
      </c>
      <c r="U43" s="13">
        <f t="shared" ref="U43:AF43" si="18">U13*0.133532</f>
        <v>20.918388704271695</v>
      </c>
      <c r="V43" s="13">
        <f t="shared" si="18"/>
        <v>53.790142382412924</v>
      </c>
      <c r="W43" s="13">
        <f t="shared" si="18"/>
        <v>73.064943402777544</v>
      </c>
      <c r="X43" s="13">
        <f t="shared" si="18"/>
        <v>92.339744423142164</v>
      </c>
      <c r="Y43" s="13">
        <f t="shared" si="18"/>
        <v>232.79178286610923</v>
      </c>
      <c r="Z43" s="13">
        <f t="shared" si="18"/>
        <v>146.7111191774095</v>
      </c>
      <c r="AA43" s="13">
        <f t="shared" si="18"/>
        <v>81.415863007647161</v>
      </c>
      <c r="AB43" s="13">
        <f t="shared" si="18"/>
        <v>81.415863007647161</v>
      </c>
      <c r="AC43" s="13">
        <f t="shared" si="18"/>
        <v>81.415863007647161</v>
      </c>
      <c r="AD43" s="13">
        <f t="shared" si="18"/>
        <v>711.78552992838775</v>
      </c>
      <c r="AE43" s="13">
        <f t="shared" si="18"/>
        <v>600.8433612646611</v>
      </c>
      <c r="AF43" s="13">
        <f t="shared" si="18"/>
        <v>470.6637458461131</v>
      </c>
    </row>
    <row r="44" spans="1:32" s="13" customFormat="1" x14ac:dyDescent="0.25">
      <c r="A44" s="13" t="s">
        <v>15</v>
      </c>
      <c r="B44" s="14">
        <f>NPV(H43,Q43:AF43)</f>
        <v>2696.7475112989832</v>
      </c>
    </row>
    <row r="45" spans="1:32" s="13" customFormat="1" x14ac:dyDescent="0.25">
      <c r="A45" s="13" t="s">
        <v>126</v>
      </c>
      <c r="B45" s="13" t="s">
        <v>272</v>
      </c>
      <c r="C45" s="13">
        <v>700</v>
      </c>
      <c r="D45" s="13">
        <v>6.25</v>
      </c>
      <c r="E45" s="13">
        <v>2021</v>
      </c>
      <c r="F45" s="13">
        <f>C45/B17</f>
        <v>3.5950578226532297E-2</v>
      </c>
      <c r="H45" s="13">
        <v>1.7000000000000001E-2</v>
      </c>
      <c r="Q45" s="13">
        <f>Q81</f>
        <v>21.875</v>
      </c>
      <c r="R45" s="13">
        <f>R81</f>
        <v>21.875</v>
      </c>
      <c r="S45" s="13">
        <v>0</v>
      </c>
      <c r="T45" s="13">
        <f>T13*0.035951</f>
        <v>8.750103025686812</v>
      </c>
      <c r="U45" s="13">
        <f t="shared" ref="U45:AF45" si="19">U13*0.035951</f>
        <v>5.6318859322654617</v>
      </c>
      <c r="V45" s="13">
        <f t="shared" si="19"/>
        <v>14.481992397254041</v>
      </c>
      <c r="W45" s="13">
        <f t="shared" si="19"/>
        <v>19.67137300627007</v>
      </c>
      <c r="X45" s="13">
        <f t="shared" si="19"/>
        <v>24.8607536152861</v>
      </c>
      <c r="Y45" s="13">
        <f t="shared" si="19"/>
        <v>62.674844874782764</v>
      </c>
      <c r="Z45" s="13">
        <f t="shared" si="19"/>
        <v>39.499231985943808</v>
      </c>
      <c r="AA45" s="13">
        <f t="shared" si="19"/>
        <v>21.919702325943764</v>
      </c>
      <c r="AB45" s="13">
        <f t="shared" si="19"/>
        <v>21.919702325943764</v>
      </c>
      <c r="AC45" s="13">
        <f t="shared" si="19"/>
        <v>21.919702325943764</v>
      </c>
      <c r="AD45" s="13">
        <f t="shared" si="19"/>
        <v>191.63497578449707</v>
      </c>
      <c r="AE45" s="13">
        <f t="shared" si="19"/>
        <v>161.7658664651606</v>
      </c>
      <c r="AF45" s="13">
        <f t="shared" si="19"/>
        <v>126.71743347597287</v>
      </c>
    </row>
    <row r="46" spans="1:32" s="13" customFormat="1" x14ac:dyDescent="0.25">
      <c r="A46" s="13" t="s">
        <v>15</v>
      </c>
      <c r="B46" s="14">
        <f>NPV(H45,L45:AF45)</f>
        <v>622.99056320861803</v>
      </c>
    </row>
    <row r="47" spans="1:32" s="13" customFormat="1" x14ac:dyDescent="0.25"/>
    <row r="48" spans="1:32" s="13" customFormat="1" x14ac:dyDescent="0.25">
      <c r="A48" s="13" t="s">
        <v>132</v>
      </c>
      <c r="B48" s="14">
        <f>B22+B24+B26+B28+B30+B32+B34+B36+B38+B40+B42+B44+B46</f>
        <v>20361.399764704252</v>
      </c>
    </row>
    <row r="49" spans="1:32" s="13" customFormat="1" x14ac:dyDescent="0.25">
      <c r="A49" s="13" t="s">
        <v>133</v>
      </c>
      <c r="B49" s="13">
        <f>B17</f>
        <v>19471.174999999999</v>
      </c>
    </row>
    <row r="50" spans="1:32" s="13" customFormat="1" x14ac:dyDescent="0.25">
      <c r="A50" s="13" t="s">
        <v>41</v>
      </c>
      <c r="B50" s="15">
        <f>B48-B49</f>
        <v>890.22476470425318</v>
      </c>
    </row>
    <row r="51" spans="1:32" s="13" customFormat="1" x14ac:dyDescent="0.25">
      <c r="A51" s="13" t="s">
        <v>40</v>
      </c>
      <c r="B51" s="16">
        <f>B50/B49</f>
        <v>4.5720135775280807E-2</v>
      </c>
    </row>
    <row r="52" spans="1:32" s="13" customFormat="1" x14ac:dyDescent="0.25"/>
    <row r="53" spans="1:32" s="13" customFormat="1" x14ac:dyDescent="0.25">
      <c r="A53" s="13" t="s">
        <v>269</v>
      </c>
      <c r="B53" s="13">
        <f>B17</f>
        <v>19471.174999999999</v>
      </c>
    </row>
    <row r="54" spans="1:32" s="13" customFormat="1" x14ac:dyDescent="0.25"/>
    <row r="55" spans="1:32" s="13" customFormat="1" x14ac:dyDescent="0.25">
      <c r="A55" s="12" t="s">
        <v>189</v>
      </c>
    </row>
    <row r="56" spans="1:32" s="13" customFormat="1" x14ac:dyDescent="0.25">
      <c r="B56" s="13" t="s">
        <v>270</v>
      </c>
      <c r="C56" s="13" t="s">
        <v>93</v>
      </c>
      <c r="D56" s="13" t="s">
        <v>94</v>
      </c>
      <c r="E56" s="13" t="s">
        <v>36</v>
      </c>
      <c r="F56" s="13" t="s">
        <v>95</v>
      </c>
      <c r="H56" s="13" t="s">
        <v>96</v>
      </c>
    </row>
    <row r="57" spans="1:32" s="13" customFormat="1" x14ac:dyDescent="0.25">
      <c r="A57" s="13" t="s">
        <v>98</v>
      </c>
      <c r="B57" s="13">
        <v>2024</v>
      </c>
      <c r="C57" s="13">
        <v>912</v>
      </c>
      <c r="D57" s="13">
        <v>7.75</v>
      </c>
      <c r="E57" s="13">
        <v>2015</v>
      </c>
      <c r="F57" s="13">
        <f>C57/B53</f>
        <v>4.6838467632282083E-2</v>
      </c>
      <c r="H57" s="13">
        <v>2.7E-2</v>
      </c>
      <c r="L57" s="13">
        <f>C57*(D57/100)</f>
        <v>70.679999999999993</v>
      </c>
      <c r="M57" s="13">
        <f>L57</f>
        <v>70.679999999999993</v>
      </c>
      <c r="N57" s="13">
        <f t="shared" ref="N57:Q57" si="20">M57</f>
        <v>70.679999999999993</v>
      </c>
      <c r="O57" s="13">
        <f t="shared" si="20"/>
        <v>70.679999999999993</v>
      </c>
      <c r="P57" s="13">
        <f t="shared" si="20"/>
        <v>70.679999999999993</v>
      </c>
      <c r="Q57" s="13">
        <f t="shared" si="20"/>
        <v>70.679999999999993</v>
      </c>
      <c r="R57" s="13">
        <f>Q57/2</f>
        <v>35.339999999999996</v>
      </c>
      <c r="S57" s="13">
        <v>0</v>
      </c>
      <c r="T57" s="13">
        <f>T15*0.046839</f>
        <v>11.400130055357142</v>
      </c>
      <c r="U57" s="13">
        <f t="shared" ref="U57:AF57" si="21">U15*0.046839</f>
        <v>7.337540129103</v>
      </c>
      <c r="V57" s="13">
        <f t="shared" si="21"/>
        <v>18.867960331979141</v>
      </c>
      <c r="W57" s="13">
        <f t="shared" si="21"/>
        <v>25.628979450938328</v>
      </c>
      <c r="X57" s="13">
        <f t="shared" si="21"/>
        <v>32.389998569897514</v>
      </c>
      <c r="Y57" s="13">
        <f t="shared" si="21"/>
        <v>81.65633943673194</v>
      </c>
      <c r="Z57" s="13">
        <f t="shared" si="21"/>
        <v>55.235429761859713</v>
      </c>
      <c r="AA57" s="13">
        <f t="shared" si="21"/>
        <v>32.331822358873929</v>
      </c>
      <c r="AB57" s="13">
        <f t="shared" si="21"/>
        <v>32.331822358873929</v>
      </c>
      <c r="AC57" s="13">
        <f t="shared" si="21"/>
        <v>32.331822358873929</v>
      </c>
      <c r="AD57" s="13">
        <f t="shared" si="21"/>
        <v>259.1068858089497</v>
      </c>
      <c r="AE57" s="13">
        <f t="shared" si="21"/>
        <v>283.65667446988658</v>
      </c>
      <c r="AF57" s="13">
        <f t="shared" si="21"/>
        <v>222.2702897026949</v>
      </c>
    </row>
    <row r="58" spans="1:32" s="13" customFormat="1" x14ac:dyDescent="0.25">
      <c r="A58" s="13" t="s">
        <v>15</v>
      </c>
      <c r="B58" s="14">
        <f>NPV(H57,L57:AF57)</f>
        <v>1090.8997114941822</v>
      </c>
    </row>
    <row r="59" spans="1:32" s="13" customFormat="1" x14ac:dyDescent="0.25">
      <c r="A59" s="13" t="s">
        <v>101</v>
      </c>
      <c r="B59" s="13">
        <v>2025</v>
      </c>
      <c r="C59" s="13">
        <v>1355</v>
      </c>
      <c r="D59" s="13">
        <v>7.75</v>
      </c>
      <c r="E59" s="13">
        <v>2015</v>
      </c>
      <c r="F59" s="13">
        <f>C59/B53</f>
        <v>6.9590047852787523E-2</v>
      </c>
      <c r="H59" s="13">
        <v>2.7E-2</v>
      </c>
      <c r="L59" s="13">
        <f>C59*(D59/100)</f>
        <v>105.0125</v>
      </c>
      <c r="M59" s="13">
        <f>L59</f>
        <v>105.0125</v>
      </c>
      <c r="N59" s="13">
        <f t="shared" ref="N59:Q59" si="22">M59</f>
        <v>105.0125</v>
      </c>
      <c r="O59" s="13">
        <f t="shared" si="22"/>
        <v>105.0125</v>
      </c>
      <c r="P59" s="13">
        <f t="shared" si="22"/>
        <v>105.0125</v>
      </c>
      <c r="Q59" s="13">
        <f t="shared" si="22"/>
        <v>105.0125</v>
      </c>
      <c r="R59" s="13">
        <f>Q59/2</f>
        <v>52.506250000000001</v>
      </c>
      <c r="S59" s="13">
        <v>0</v>
      </c>
      <c r="T59" s="13">
        <f>T15*0.069591</f>
        <v>16.937732459752745</v>
      </c>
      <c r="U59" s="13">
        <f t="shared" ref="U59:AF59" si="23">U15*0.069591</f>
        <v>10.901743314853155</v>
      </c>
      <c r="V59" s="13">
        <f t="shared" si="23"/>
        <v>28.03305423819382</v>
      </c>
      <c r="W59" s="13">
        <f t="shared" si="23"/>
        <v>38.078232006879936</v>
      </c>
      <c r="X59" s="13">
        <f t="shared" si="23"/>
        <v>48.123409775566053</v>
      </c>
      <c r="Y59" s="13">
        <f t="shared" si="23"/>
        <v>121.32082917529436</v>
      </c>
      <c r="Z59" s="13">
        <f t="shared" si="23"/>
        <v>82.065987586361345</v>
      </c>
      <c r="AA59" s="13">
        <f t="shared" si="23"/>
        <v>48.0369745249983</v>
      </c>
      <c r="AB59" s="13">
        <f t="shared" si="23"/>
        <v>48.0369745249983</v>
      </c>
      <c r="AC59" s="13">
        <f t="shared" si="23"/>
        <v>48.0369745249983</v>
      </c>
      <c r="AD59" s="13">
        <f t="shared" si="23"/>
        <v>384.96781080575204</v>
      </c>
      <c r="AE59" s="13">
        <f t="shared" si="23"/>
        <v>421.44263611592646</v>
      </c>
      <c r="AF59" s="13">
        <f t="shared" si="23"/>
        <v>330.23787294135741</v>
      </c>
    </row>
    <row r="60" spans="1:32" s="13" customFormat="1" x14ac:dyDescent="0.25">
      <c r="A60" s="13" t="s">
        <v>15</v>
      </c>
      <c r="B60" s="14">
        <f>NPV(H59,L59:AF59)</f>
        <v>1620.801784020576</v>
      </c>
    </row>
    <row r="61" spans="1:32" s="13" customFormat="1" x14ac:dyDescent="0.25">
      <c r="A61" s="13" t="s">
        <v>104</v>
      </c>
      <c r="B61" s="13">
        <v>2026</v>
      </c>
      <c r="C61" s="13">
        <v>750</v>
      </c>
      <c r="D61" s="13">
        <v>8.9939999999999998</v>
      </c>
      <c r="E61" s="13">
        <v>2015</v>
      </c>
      <c r="F61" s="13">
        <f>C61/B53</f>
        <v>3.8518476671284607E-2</v>
      </c>
      <c r="H61" s="13">
        <f>H25</f>
        <v>3.3000000000000002E-2</v>
      </c>
      <c r="O61" s="13">
        <f>O25</f>
        <v>67.454999999999998</v>
      </c>
      <c r="P61" s="13">
        <f t="shared" ref="P61:Q61" si="24">O61</f>
        <v>67.454999999999998</v>
      </c>
      <c r="Q61" s="13">
        <f t="shared" si="24"/>
        <v>67.454999999999998</v>
      </c>
      <c r="R61" s="13">
        <f>Q61/2</f>
        <v>33.727499999999999</v>
      </c>
      <c r="S61" s="13">
        <v>0</v>
      </c>
      <c r="T61" s="13">
        <f>T15*0.038519</f>
        <v>9.3751277696428552</v>
      </c>
      <c r="U61" s="13">
        <f t="shared" ref="U61:AF61" si="25">U15*0.038519</f>
        <v>6.0341746884629996</v>
      </c>
      <c r="V61" s="13">
        <f t="shared" si="25"/>
        <v>15.516449198904855</v>
      </c>
      <c r="W61" s="13">
        <f t="shared" si="25"/>
        <v>21.076510161845757</v>
      </c>
      <c r="X61" s="13">
        <f t="shared" si="25"/>
        <v>26.636571124786663</v>
      </c>
      <c r="Y61" s="13">
        <f t="shared" si="25"/>
        <v>67.151744033038227</v>
      </c>
      <c r="Z61" s="13">
        <f t="shared" si="25"/>
        <v>45.423974017316212</v>
      </c>
      <c r="AA61" s="13">
        <f t="shared" si="25"/>
        <v>26.588728739756714</v>
      </c>
      <c r="AB61" s="13">
        <f t="shared" si="25"/>
        <v>26.588728739756714</v>
      </c>
      <c r="AC61" s="13">
        <f t="shared" si="25"/>
        <v>26.588728739756714</v>
      </c>
      <c r="AD61" s="13">
        <f t="shared" si="25"/>
        <v>213.0817936863497</v>
      </c>
      <c r="AE61" s="13">
        <f t="shared" si="25"/>
        <v>233.27080945164417</v>
      </c>
      <c r="AF61" s="13">
        <f t="shared" si="25"/>
        <v>182.78847304720648</v>
      </c>
    </row>
    <row r="62" spans="1:32" s="13" customFormat="1" x14ac:dyDescent="0.25">
      <c r="A62" s="13" t="s">
        <v>15</v>
      </c>
      <c r="B62" s="14">
        <f>NPV(H61,L61:AF61)</f>
        <v>770.17168374789151</v>
      </c>
    </row>
    <row r="63" spans="1:32" s="13" customFormat="1" x14ac:dyDescent="0.25">
      <c r="A63" s="13" t="s">
        <v>107</v>
      </c>
      <c r="B63" s="13">
        <v>2026</v>
      </c>
      <c r="C63" s="13">
        <v>1340</v>
      </c>
      <c r="D63" s="13">
        <v>7.75</v>
      </c>
      <c r="E63" s="13">
        <v>2015</v>
      </c>
      <c r="F63" s="13">
        <f>C63/B53</f>
        <v>6.8819678319361824E-2</v>
      </c>
      <c r="H63" s="13">
        <v>2.7E-2</v>
      </c>
      <c r="L63" s="13">
        <f>C63*(D63/100)</f>
        <v>103.85</v>
      </c>
      <c r="M63" s="13">
        <f>L63</f>
        <v>103.85</v>
      </c>
      <c r="N63" s="13">
        <f t="shared" ref="N63:Q63" si="26">M63</f>
        <v>103.85</v>
      </c>
      <c r="O63" s="13">
        <f t="shared" si="26"/>
        <v>103.85</v>
      </c>
      <c r="P63" s="13">
        <f t="shared" si="26"/>
        <v>103.85</v>
      </c>
      <c r="Q63" s="13">
        <f t="shared" si="26"/>
        <v>103.85</v>
      </c>
      <c r="R63" s="13">
        <f>Q63/2</f>
        <v>51.924999999999997</v>
      </c>
      <c r="S63" s="13">
        <v>0</v>
      </c>
      <c r="T63" s="13">
        <f>T15*0.06882</f>
        <v>16.750079002747253</v>
      </c>
      <c r="U63" s="13">
        <f t="shared" ref="U63:AF63" si="27">U15*0.06882</f>
        <v>10.780962695293848</v>
      </c>
      <c r="V63" s="13">
        <f t="shared" si="27"/>
        <v>27.722475502184174</v>
      </c>
      <c r="W63" s="13">
        <f t="shared" si="27"/>
        <v>37.656362557133498</v>
      </c>
      <c r="X63" s="13">
        <f t="shared" si="27"/>
        <v>47.590249612082822</v>
      </c>
      <c r="Y63" s="13">
        <f t="shared" si="27"/>
        <v>119.97671342334151</v>
      </c>
      <c r="Z63" s="13">
        <f t="shared" si="27"/>
        <v>81.156776963880219</v>
      </c>
      <c r="AA63" s="13">
        <f t="shared" si="27"/>
        <v>47.504771979284442</v>
      </c>
      <c r="AB63" s="13">
        <f t="shared" si="27"/>
        <v>47.504771979284442</v>
      </c>
      <c r="AC63" s="13">
        <f t="shared" si="27"/>
        <v>47.504771979284442</v>
      </c>
      <c r="AD63" s="13">
        <f t="shared" si="27"/>
        <v>380.702745177564</v>
      </c>
      <c r="AE63" s="13">
        <f t="shared" si="27"/>
        <v>416.77346521099082</v>
      </c>
      <c r="AF63" s="13">
        <f t="shared" si="27"/>
        <v>326.57916132580675</v>
      </c>
    </row>
    <row r="64" spans="1:32" s="13" customFormat="1" x14ac:dyDescent="0.25">
      <c r="A64" s="13" t="s">
        <v>15</v>
      </c>
      <c r="B64" s="14">
        <f>NPV(H63,L63:AF63)</f>
        <v>1602.850397050825</v>
      </c>
    </row>
    <row r="65" spans="1:32" s="13" customFormat="1" x14ac:dyDescent="0.25">
      <c r="A65" s="13" t="s">
        <v>109</v>
      </c>
      <c r="B65" s="13">
        <v>2027</v>
      </c>
      <c r="C65" s="13">
        <v>1330</v>
      </c>
      <c r="D65" s="13">
        <v>7.75</v>
      </c>
      <c r="E65" s="13">
        <v>2015</v>
      </c>
      <c r="F65" s="13">
        <f>C65/B53</f>
        <v>6.8306098630411372E-2</v>
      </c>
      <c r="H65" s="13">
        <v>2.7E-2</v>
      </c>
      <c r="L65" s="13">
        <f>C65*(D65/100)</f>
        <v>103.075</v>
      </c>
      <c r="M65" s="13">
        <f>L65</f>
        <v>103.075</v>
      </c>
      <c r="N65" s="13">
        <f t="shared" ref="N65:Q65" si="28">M65</f>
        <v>103.075</v>
      </c>
      <c r="O65" s="13">
        <f t="shared" si="28"/>
        <v>103.075</v>
      </c>
      <c r="P65" s="13">
        <f t="shared" si="28"/>
        <v>103.075</v>
      </c>
      <c r="Q65" s="13">
        <f t="shared" si="28"/>
        <v>103.075</v>
      </c>
      <c r="R65" s="13">
        <f>Q65/2</f>
        <v>51.537500000000001</v>
      </c>
      <c r="S65" s="13">
        <v>0</v>
      </c>
      <c r="T65" s="13">
        <f>T15*0.068307</f>
        <v>16.625220087774725</v>
      </c>
      <c r="U65" s="13">
        <f t="shared" ref="U65:AF65" si="29">U15*0.068307</f>
        <v>10.700598936754385</v>
      </c>
      <c r="V65" s="13">
        <f t="shared" si="29"/>
        <v>27.515825837368418</v>
      </c>
      <c r="W65" s="13">
        <f t="shared" si="29"/>
        <v>37.375663429092093</v>
      </c>
      <c r="X65" s="13">
        <f t="shared" si="29"/>
        <v>47.235501020815775</v>
      </c>
      <c r="Y65" s="13">
        <f t="shared" si="29"/>
        <v>119.08237959616665</v>
      </c>
      <c r="Z65" s="13">
        <f t="shared" si="29"/>
        <v>80.551815810400555</v>
      </c>
      <c r="AA65" s="13">
        <f t="shared" si="29"/>
        <v>47.150660557817233</v>
      </c>
      <c r="AB65" s="13">
        <f t="shared" si="29"/>
        <v>47.150660557817233</v>
      </c>
      <c r="AC65" s="13">
        <f t="shared" si="29"/>
        <v>47.150660557817233</v>
      </c>
      <c r="AD65" s="13">
        <f t="shared" si="29"/>
        <v>377.86489995413928</v>
      </c>
      <c r="AE65" s="13">
        <f t="shared" si="29"/>
        <v>413.66674060109199</v>
      </c>
      <c r="AF65" s="13">
        <f t="shared" si="29"/>
        <v>324.14476565942869</v>
      </c>
    </row>
    <row r="66" spans="1:32" s="13" customFormat="1" x14ac:dyDescent="0.25">
      <c r="A66" s="13" t="s">
        <v>15</v>
      </c>
      <c r="B66" s="14">
        <f>NPV(H65,L65:AF65)</f>
        <v>1590.8972135754007</v>
      </c>
    </row>
    <row r="67" spans="1:32" s="13" customFormat="1" x14ac:dyDescent="0.25">
      <c r="A67" s="13" t="s">
        <v>111</v>
      </c>
      <c r="B67" s="13">
        <v>2028</v>
      </c>
      <c r="C67" s="13">
        <v>1450.549</v>
      </c>
      <c r="D67" s="13">
        <v>7.75</v>
      </c>
      <c r="E67" s="13">
        <v>2015</v>
      </c>
      <c r="F67" s="13">
        <f>C67/B53</f>
        <v>7.4497250422740288E-2</v>
      </c>
      <c r="G67" s="13" t="s">
        <v>271</v>
      </c>
      <c r="H67" s="13">
        <v>1.2999999999999999E-2</v>
      </c>
      <c r="L67" s="13">
        <f>C67*(D67/100)</f>
        <v>112.4175475</v>
      </c>
      <c r="M67" s="13">
        <f>L67</f>
        <v>112.4175475</v>
      </c>
      <c r="N67" s="13">
        <f t="shared" ref="N67:Q67" si="30">M67</f>
        <v>112.4175475</v>
      </c>
      <c r="O67" s="13">
        <f t="shared" si="30"/>
        <v>112.4175475</v>
      </c>
      <c r="P67" s="13">
        <f t="shared" si="30"/>
        <v>112.4175475</v>
      </c>
      <c r="Q67" s="13">
        <f t="shared" si="30"/>
        <v>112.4175475</v>
      </c>
      <c r="R67" s="13">
        <f>Q67/2</f>
        <v>56.208773749999999</v>
      </c>
      <c r="S67" s="13">
        <v>0</v>
      </c>
      <c r="T67" s="13">
        <f>T15*0.074498</f>
        <v>18.13204570686813</v>
      </c>
      <c r="U67" s="13">
        <f t="shared" ref="U67:AF67" si="31">U15*0.074498</f>
        <v>11.670446946730616</v>
      </c>
      <c r="V67" s="13">
        <f t="shared" si="31"/>
        <v>30.009720720164434</v>
      </c>
      <c r="W67" s="13">
        <f t="shared" si="31"/>
        <v>40.763203978223352</v>
      </c>
      <c r="X67" s="13">
        <f t="shared" si="31"/>
        <v>51.516687236282266</v>
      </c>
      <c r="Y67" s="13">
        <f t="shared" si="31"/>
        <v>129.87540245004496</v>
      </c>
      <c r="Z67" s="13">
        <f t="shared" si="31"/>
        <v>87.852623804928044</v>
      </c>
      <c r="AA67" s="13">
        <f t="shared" si="31"/>
        <v>51.424157264061776</v>
      </c>
      <c r="AB67" s="13">
        <f t="shared" si="31"/>
        <v>51.424157264061776</v>
      </c>
      <c r="AC67" s="13">
        <f t="shared" si="31"/>
        <v>51.424157264061776</v>
      </c>
      <c r="AD67" s="13">
        <f t="shared" si="31"/>
        <v>412.11265780642486</v>
      </c>
      <c r="AE67" s="13">
        <f t="shared" si="31"/>
        <v>451.15939568858454</v>
      </c>
      <c r="AF67" s="13">
        <f t="shared" si="31"/>
        <v>353.52360302891526</v>
      </c>
    </row>
    <row r="68" spans="1:32" s="13" customFormat="1" x14ac:dyDescent="0.25">
      <c r="A68" s="13" t="s">
        <v>15</v>
      </c>
      <c r="B68" s="14">
        <f>NPV(H67,L67:AF67)</f>
        <v>2072.1519987213806</v>
      </c>
    </row>
    <row r="69" spans="1:32" s="13" customFormat="1" x14ac:dyDescent="0.25">
      <c r="A69" s="13" t="s">
        <v>113</v>
      </c>
      <c r="B69" s="13">
        <v>2029</v>
      </c>
      <c r="C69" s="13">
        <v>1310</v>
      </c>
      <c r="D69" s="13">
        <v>7.75</v>
      </c>
      <c r="E69" s="13">
        <v>2015</v>
      </c>
      <c r="F69" s="13">
        <f>C69/B53</f>
        <v>6.7278939252510439E-2</v>
      </c>
      <c r="H69" s="13">
        <v>2.7E-2</v>
      </c>
      <c r="L69" s="13">
        <f>C69*(D69/100)</f>
        <v>101.52500000000001</v>
      </c>
      <c r="M69" s="13">
        <f>L69</f>
        <v>101.52500000000001</v>
      </c>
      <c r="N69" s="13">
        <f t="shared" ref="N69:Q69" si="32">M69</f>
        <v>101.52500000000001</v>
      </c>
      <c r="O69" s="13">
        <f t="shared" si="32"/>
        <v>101.52500000000001</v>
      </c>
      <c r="P69" s="13">
        <f t="shared" si="32"/>
        <v>101.52500000000001</v>
      </c>
      <c r="Q69" s="13">
        <f t="shared" si="32"/>
        <v>101.52500000000001</v>
      </c>
      <c r="R69" s="13">
        <f>Q69/2</f>
        <v>50.762500000000003</v>
      </c>
      <c r="S69" s="13">
        <v>0</v>
      </c>
      <c r="T69" s="13">
        <f>T15*0.06728</f>
        <v>16.375258868131869</v>
      </c>
      <c r="U69" s="13">
        <f t="shared" ref="U69:AF69" si="33">U15*0.06728</f>
        <v>10.539714765175386</v>
      </c>
      <c r="V69" s="13">
        <f t="shared" si="33"/>
        <v>27.102123681879561</v>
      </c>
      <c r="W69" s="13">
        <f t="shared" si="33"/>
        <v>36.813718001219726</v>
      </c>
      <c r="X69" s="13">
        <f t="shared" si="33"/>
        <v>46.525312320559905</v>
      </c>
      <c r="Y69" s="13">
        <f t="shared" si="33"/>
        <v>117.2919686010232</v>
      </c>
      <c r="Z69" s="13">
        <f t="shared" si="33"/>
        <v>79.340714241933469</v>
      </c>
      <c r="AA69" s="13">
        <f t="shared" si="33"/>
        <v>46.441747439207454</v>
      </c>
      <c r="AB69" s="13">
        <f t="shared" si="33"/>
        <v>46.441747439207454</v>
      </c>
      <c r="AC69" s="13">
        <f t="shared" si="33"/>
        <v>46.441747439207454</v>
      </c>
      <c r="AD69" s="13">
        <f t="shared" si="33"/>
        <v>372.18367764525584</v>
      </c>
      <c r="AE69" s="13">
        <f t="shared" si="33"/>
        <v>407.44723538790265</v>
      </c>
      <c r="AF69" s="13">
        <f t="shared" si="33"/>
        <v>319.27122891601687</v>
      </c>
    </row>
    <row r="70" spans="1:32" s="13" customFormat="1" x14ac:dyDescent="0.25">
      <c r="A70" s="13" t="s">
        <v>15</v>
      </c>
      <c r="B70" s="14">
        <f>NPV(H69,L69:AF69)</f>
        <v>1566.9764387868088</v>
      </c>
    </row>
    <row r="71" spans="1:32" s="13" customFormat="1" x14ac:dyDescent="0.25">
      <c r="A71" s="13" t="s">
        <v>115</v>
      </c>
      <c r="B71" s="13">
        <v>2030</v>
      </c>
      <c r="C71" s="13">
        <v>1600</v>
      </c>
      <c r="D71" s="13">
        <v>9.75</v>
      </c>
      <c r="E71" s="13">
        <v>2015</v>
      </c>
      <c r="F71" s="13">
        <f>C71/B53</f>
        <v>8.2172750232073821E-2</v>
      </c>
      <c r="H71" s="13">
        <v>3.3000000000000002E-2</v>
      </c>
      <c r="O71" s="13">
        <f>O35</f>
        <v>156</v>
      </c>
      <c r="P71" s="13">
        <f t="shared" ref="P71:Q71" si="34">O71</f>
        <v>156</v>
      </c>
      <c r="Q71" s="13">
        <f t="shared" si="34"/>
        <v>156</v>
      </c>
      <c r="R71" s="13">
        <f>Q71/2</f>
        <v>78</v>
      </c>
      <c r="S71" s="13">
        <v>0</v>
      </c>
      <c r="T71" s="13">
        <f>T15*0.082173</f>
        <v>20.000061637499996</v>
      </c>
      <c r="U71" s="13">
        <f t="shared" ref="U71:AF71" si="35">U15*0.082173</f>
        <v>12.872770234821001</v>
      </c>
      <c r="V71" s="13">
        <f t="shared" si="35"/>
        <v>33.101409175253998</v>
      </c>
      <c r="W71" s="13">
        <f t="shared" si="35"/>
        <v>44.962747463053333</v>
      </c>
      <c r="X71" s="13">
        <f t="shared" si="35"/>
        <v>56.824085750852682</v>
      </c>
      <c r="Y71" s="13">
        <f t="shared" si="35"/>
        <v>143.25554304179366</v>
      </c>
      <c r="Z71" s="13">
        <f t="shared" si="35"/>
        <v>96.903455876967868</v>
      </c>
      <c r="AA71" s="13">
        <f t="shared" si="35"/>
        <v>56.72202307256233</v>
      </c>
      <c r="AB71" s="13">
        <f t="shared" si="35"/>
        <v>56.72202307256233</v>
      </c>
      <c r="AC71" s="13">
        <f t="shared" si="35"/>
        <v>56.72202307256233</v>
      </c>
      <c r="AD71" s="13">
        <f t="shared" si="35"/>
        <v>454.56969891711657</v>
      </c>
      <c r="AE71" s="13">
        <f t="shared" si="35"/>
        <v>497.63914496923485</v>
      </c>
      <c r="AF71" s="13">
        <f t="shared" si="35"/>
        <v>389.94462981147217</v>
      </c>
    </row>
    <row r="72" spans="1:32" s="13" customFormat="1" x14ac:dyDescent="0.25">
      <c r="A72" s="13" t="s">
        <v>15</v>
      </c>
      <c r="B72" s="14">
        <f>NPV(H71,L71:AF71)</f>
        <v>1682.3504352612988</v>
      </c>
    </row>
    <row r="73" spans="1:32" s="13" customFormat="1" x14ac:dyDescent="0.25">
      <c r="A73" s="13" t="s">
        <v>118</v>
      </c>
      <c r="B73" s="13">
        <v>2031</v>
      </c>
      <c r="C73" s="13">
        <v>1750</v>
      </c>
      <c r="D73" s="13">
        <v>6.8760000000000003</v>
      </c>
      <c r="E73" s="13">
        <f>E37</f>
        <v>2021</v>
      </c>
      <c r="F73" s="13">
        <f>C73/B53</f>
        <v>8.9876445566330745E-2</v>
      </c>
      <c r="H73" s="13">
        <f>H37</f>
        <v>1.9E-2</v>
      </c>
      <c r="Q73" s="13">
        <f>Q37</f>
        <v>60.164999999999999</v>
      </c>
      <c r="R73" s="13">
        <f>R37</f>
        <v>60.164999999999999</v>
      </c>
      <c r="S73" s="13">
        <v>0</v>
      </c>
      <c r="T73" s="13">
        <f>T15*0.089877</f>
        <v>21.87513586936813</v>
      </c>
      <c r="U73" s="13">
        <f t="shared" ref="U73:AF73" si="36">U15*0.089877</f>
        <v>14.079636503413616</v>
      </c>
      <c r="V73" s="13">
        <f t="shared" si="36"/>
        <v>36.204779580206434</v>
      </c>
      <c r="W73" s="13">
        <f t="shared" si="36"/>
        <v>49.178158929780402</v>
      </c>
      <c r="X73" s="13">
        <f t="shared" si="36"/>
        <v>62.151538279354369</v>
      </c>
      <c r="Y73" s="13">
        <f t="shared" si="36"/>
        <v>156.68624051656005</v>
      </c>
      <c r="Z73" s="13">
        <f t="shared" si="36"/>
        <v>105.98848653273267</v>
      </c>
      <c r="AA73" s="13">
        <f t="shared" si="36"/>
        <v>62.039906875648754</v>
      </c>
      <c r="AB73" s="13">
        <f t="shared" si="36"/>
        <v>62.039906875648754</v>
      </c>
      <c r="AC73" s="13">
        <f t="shared" si="36"/>
        <v>62.039906875648754</v>
      </c>
      <c r="AD73" s="13">
        <f t="shared" si="36"/>
        <v>497.18716402679331</v>
      </c>
      <c r="AE73" s="13">
        <f t="shared" si="36"/>
        <v>544.29451805824203</v>
      </c>
      <c r="AF73" s="13">
        <f t="shared" si="36"/>
        <v>426.50327350304462</v>
      </c>
    </row>
    <row r="74" spans="1:32" s="13" customFormat="1" x14ac:dyDescent="0.25">
      <c r="A74" s="13" t="s">
        <v>15</v>
      </c>
      <c r="B74" s="14">
        <f>NPV(H73,Q73:AF73)</f>
        <v>1755.6109796908083</v>
      </c>
    </row>
    <row r="75" spans="1:32" s="13" customFormat="1" x14ac:dyDescent="0.25">
      <c r="A75" s="13" t="s">
        <v>120</v>
      </c>
      <c r="B75" s="13">
        <v>2032</v>
      </c>
      <c r="C75" s="13">
        <v>1373.626</v>
      </c>
      <c r="D75" s="13">
        <v>4.375</v>
      </c>
      <c r="E75" s="13">
        <v>2020</v>
      </c>
      <c r="F75" s="13">
        <f>C75/B53</f>
        <v>7.0546641381426647E-2</v>
      </c>
      <c r="G75" s="13" t="s">
        <v>271</v>
      </c>
      <c r="H75" s="13">
        <v>0</v>
      </c>
      <c r="P75" s="13">
        <f>(C75*(D75/100))/2</f>
        <v>30.048068749999999</v>
      </c>
      <c r="Q75" s="13">
        <f>C75*(D75/100)</f>
        <v>60.096137499999998</v>
      </c>
      <c r="R75" s="13">
        <f t="shared" ref="R75:R79" si="37">Q75/2</f>
        <v>30.048068749999999</v>
      </c>
      <c r="S75" s="13">
        <v>0</v>
      </c>
      <c r="T75" s="13">
        <f>T15*0.070547</f>
        <v>17.170413010851647</v>
      </c>
      <c r="U75" s="13">
        <f t="shared" ref="U75:AF75" si="38">U15*0.070547</f>
        <v>11.051505016926694</v>
      </c>
      <c r="V75" s="13">
        <f t="shared" si="38"/>
        <v>28.418155757811491</v>
      </c>
      <c r="W75" s="13">
        <f t="shared" si="38"/>
        <v>38.601328237693934</v>
      </c>
      <c r="X75" s="13">
        <f t="shared" si="38"/>
        <v>48.784500717576385</v>
      </c>
      <c r="Y75" s="13">
        <f t="shared" si="38"/>
        <v>122.98746297408417</v>
      </c>
      <c r="Z75" s="13">
        <f t="shared" si="38"/>
        <v>83.193361587777645</v>
      </c>
      <c r="AA75" s="13">
        <f t="shared" si="38"/>
        <v>48.696878070656481</v>
      </c>
      <c r="AB75" s="13">
        <f t="shared" si="38"/>
        <v>48.696878070656481</v>
      </c>
      <c r="AC75" s="13">
        <f t="shared" si="38"/>
        <v>48.696878070656481</v>
      </c>
      <c r="AD75" s="13">
        <f t="shared" si="38"/>
        <v>390.25627091022386</v>
      </c>
      <c r="AE75" s="13">
        <f t="shared" si="38"/>
        <v>427.23216579831103</v>
      </c>
      <c r="AF75" s="13">
        <f t="shared" si="38"/>
        <v>334.77448552821403</v>
      </c>
    </row>
    <row r="76" spans="1:32" s="13" customFormat="1" x14ac:dyDescent="0.25">
      <c r="A76" s="13" t="s">
        <v>15</v>
      </c>
      <c r="B76" s="14">
        <f>NPV(H75,P75:AF75)</f>
        <v>1768.7525587514401</v>
      </c>
    </row>
    <row r="77" spans="1:32" s="13" customFormat="1" x14ac:dyDescent="0.25">
      <c r="A77" s="13" t="s">
        <v>122</v>
      </c>
      <c r="B77" s="13">
        <v>2034</v>
      </c>
      <c r="C77" s="13">
        <v>3000</v>
      </c>
      <c r="D77" s="13">
        <v>7.375</v>
      </c>
      <c r="E77" s="13">
        <v>2017</v>
      </c>
      <c r="F77" s="13">
        <f>C77/B53</f>
        <v>0.15407390668513843</v>
      </c>
      <c r="H77" s="13">
        <v>2.5000000000000001E-2</v>
      </c>
      <c r="N77" s="13">
        <f>C77*(D77/100)</f>
        <v>221.25</v>
      </c>
      <c r="O77" s="13">
        <f t="shared" ref="O77:Q77" si="39">N77</f>
        <v>221.25</v>
      </c>
      <c r="P77" s="13">
        <f t="shared" si="39"/>
        <v>221.25</v>
      </c>
      <c r="Q77" s="13">
        <f t="shared" si="39"/>
        <v>221.25</v>
      </c>
      <c r="R77" s="13">
        <f t="shared" si="37"/>
        <v>110.625</v>
      </c>
      <c r="S77" s="13">
        <v>0</v>
      </c>
      <c r="T77" s="13">
        <f>T15*0.154075</f>
        <v>37.50026768887362</v>
      </c>
      <c r="U77" s="13">
        <f t="shared" ref="U77:AF77" si="40">U15*0.154075</f>
        <v>24.136542099351924</v>
      </c>
      <c r="V77" s="13">
        <f t="shared" si="40"/>
        <v>62.065393969762077</v>
      </c>
      <c r="W77" s="13">
        <f t="shared" si="40"/>
        <v>84.30549347559348</v>
      </c>
      <c r="X77" s="13">
        <f t="shared" si="40"/>
        <v>106.54559298142487</v>
      </c>
      <c r="Y77" s="13">
        <f t="shared" si="40"/>
        <v>268.60523279135919</v>
      </c>
      <c r="Z77" s="13">
        <f t="shared" si="40"/>
        <v>181.69471680775709</v>
      </c>
      <c r="AA77" s="13">
        <f t="shared" si="40"/>
        <v>106.35422468335148</v>
      </c>
      <c r="AB77" s="13">
        <f t="shared" si="40"/>
        <v>106.35422468335148</v>
      </c>
      <c r="AC77" s="13">
        <f t="shared" si="40"/>
        <v>106.35422468335148</v>
      </c>
      <c r="AD77" s="13">
        <f t="shared" si="40"/>
        <v>852.3216428833648</v>
      </c>
      <c r="AE77" s="13">
        <f t="shared" si="40"/>
        <v>933.07718181318512</v>
      </c>
      <c r="AF77" s="13">
        <f t="shared" si="40"/>
        <v>731.14914677817012</v>
      </c>
    </row>
    <row r="78" spans="1:32" s="13" customFormat="1" x14ac:dyDescent="0.25">
      <c r="A78" s="13" t="s">
        <v>15</v>
      </c>
      <c r="B78" s="14">
        <f>NPV(H77,L77:AF77)</f>
        <v>3345.8583571760669</v>
      </c>
    </row>
    <row r="79" spans="1:32" s="13" customFormat="1" x14ac:dyDescent="0.25">
      <c r="A79" s="13" t="s">
        <v>124</v>
      </c>
      <c r="B79" s="13">
        <v>2035</v>
      </c>
      <c r="C79" s="13">
        <v>2600</v>
      </c>
      <c r="D79" s="13">
        <v>7.2530000000000001</v>
      </c>
      <c r="E79" s="13">
        <v>2020</v>
      </c>
      <c r="F79" s="13">
        <f>C79/B53</f>
        <v>0.13353071912711997</v>
      </c>
      <c r="H79" s="13">
        <f>H43</f>
        <v>8.0000000000000002E-3</v>
      </c>
      <c r="Q79" s="13">
        <f>Q43</f>
        <v>188.578</v>
      </c>
      <c r="R79" s="13">
        <f t="shared" si="37"/>
        <v>94.289000000000001</v>
      </c>
      <c r="S79" s="13">
        <v>0</v>
      </c>
      <c r="T79" s="13">
        <f>T15*0.133532</f>
        <v>32.500313126923075</v>
      </c>
      <c r="U79" s="13">
        <f t="shared" ref="U79:AF79" si="41">U15*0.133532</f>
        <v>20.918388704271695</v>
      </c>
      <c r="V79" s="13">
        <f t="shared" si="41"/>
        <v>53.790142382412924</v>
      </c>
      <c r="W79" s="13">
        <f t="shared" si="41"/>
        <v>73.064943402777544</v>
      </c>
      <c r="X79" s="13">
        <f t="shared" si="41"/>
        <v>92.339744423142164</v>
      </c>
      <c r="Y79" s="13">
        <f t="shared" si="41"/>
        <v>232.79178286610923</v>
      </c>
      <c r="Z79" s="13">
        <f t="shared" si="41"/>
        <v>157.46914765389209</v>
      </c>
      <c r="AA79" s="13">
        <f t="shared" si="41"/>
        <v>92.173891484129754</v>
      </c>
      <c r="AB79" s="13">
        <f t="shared" si="41"/>
        <v>92.173891484129754</v>
      </c>
      <c r="AC79" s="13">
        <f t="shared" si="41"/>
        <v>92.173891484129754</v>
      </c>
      <c r="AD79" s="13">
        <f t="shared" si="41"/>
        <v>738.68060111959426</v>
      </c>
      <c r="AE79" s="13">
        <f t="shared" si="41"/>
        <v>808.66890956922441</v>
      </c>
      <c r="AF79" s="13">
        <f t="shared" si="41"/>
        <v>633.66417567796611</v>
      </c>
    </row>
    <row r="80" spans="1:32" s="13" customFormat="1" x14ac:dyDescent="0.25">
      <c r="A80" s="13" t="s">
        <v>15</v>
      </c>
      <c r="B80" s="14">
        <f>NPV(H79,Q79:AF79)</f>
        <v>3087.9716450769606</v>
      </c>
    </row>
    <row r="81" spans="1:32" s="13" customFormat="1" x14ac:dyDescent="0.25">
      <c r="A81" s="13" t="s">
        <v>126</v>
      </c>
      <c r="B81" s="13" t="s">
        <v>272</v>
      </c>
      <c r="C81" s="13">
        <v>700</v>
      </c>
      <c r="D81" s="13">
        <v>6.25</v>
      </c>
      <c r="E81" s="13">
        <v>2021</v>
      </c>
      <c r="F81" s="13">
        <f>C81/B53</f>
        <v>3.5950578226532297E-2</v>
      </c>
      <c r="H81" s="13">
        <v>1.7000000000000001E-2</v>
      </c>
      <c r="Q81" s="13">
        <f>(C81*(D81/100))/2</f>
        <v>21.875</v>
      </c>
      <c r="R81" s="13">
        <f>Q81</f>
        <v>21.875</v>
      </c>
      <c r="S81" s="13">
        <v>0</v>
      </c>
      <c r="T81" s="13">
        <f>T15*0.035951</f>
        <v>8.750103025686812</v>
      </c>
      <c r="U81" s="13">
        <f t="shared" ref="U81:AF81" si="42">U15*0.035951</f>
        <v>5.6318859322654617</v>
      </c>
      <c r="V81" s="13">
        <f t="shared" si="42"/>
        <v>14.481992397254041</v>
      </c>
      <c r="W81" s="13">
        <f t="shared" si="42"/>
        <v>19.67137300627007</v>
      </c>
      <c r="X81" s="13">
        <f t="shared" si="42"/>
        <v>24.8607536152861</v>
      </c>
      <c r="Y81" s="13">
        <f t="shared" si="42"/>
        <v>62.674844874782764</v>
      </c>
      <c r="Z81" s="13">
        <f t="shared" si="42"/>
        <v>42.395630465394618</v>
      </c>
      <c r="AA81" s="13">
        <f t="shared" si="42"/>
        <v>24.816100805394573</v>
      </c>
      <c r="AB81" s="13">
        <f t="shared" si="42"/>
        <v>24.816100805394573</v>
      </c>
      <c r="AC81" s="13">
        <f t="shared" si="42"/>
        <v>24.816100805394573</v>
      </c>
      <c r="AD81" s="13">
        <f t="shared" si="42"/>
        <v>198.87597198312412</v>
      </c>
      <c r="AE81" s="13">
        <f t="shared" si="42"/>
        <v>217.71901842197511</v>
      </c>
      <c r="AF81" s="13">
        <f t="shared" si="42"/>
        <v>170.60225848334898</v>
      </c>
    </row>
    <row r="82" spans="1:32" s="13" customFormat="1" x14ac:dyDescent="0.25">
      <c r="A82" s="13" t="s">
        <v>15</v>
      </c>
      <c r="B82" s="14">
        <f>NPV(H81,Q81:AF81)</f>
        <v>715.21740293787173</v>
      </c>
    </row>
    <row r="83" spans="1:32" s="13" customFormat="1" x14ac:dyDescent="0.25"/>
    <row r="84" spans="1:32" s="13" customFormat="1" x14ac:dyDescent="0.25">
      <c r="A84" s="13" t="s">
        <v>132</v>
      </c>
      <c r="B84" s="14">
        <f>B58+B60+B62+B64+B66+B68+B70+B72+B74+B76+B78+B80+B82</f>
        <v>22670.510606291511</v>
      </c>
    </row>
    <row r="85" spans="1:32" s="13" customFormat="1" x14ac:dyDescent="0.25">
      <c r="A85" s="13" t="s">
        <v>133</v>
      </c>
      <c r="B85" s="13">
        <f>B53</f>
        <v>19471.174999999999</v>
      </c>
    </row>
    <row r="86" spans="1:32" s="13" customFormat="1" x14ac:dyDescent="0.25">
      <c r="A86" s="13" t="s">
        <v>41</v>
      </c>
      <c r="B86" s="15">
        <f>B84-B85</f>
        <v>3199.3356062915118</v>
      </c>
    </row>
    <row r="87" spans="1:32" s="13" customFormat="1" x14ac:dyDescent="0.25">
      <c r="A87" s="13" t="s">
        <v>40</v>
      </c>
      <c r="B87" s="16">
        <f>B86/B85</f>
        <v>0.16431137855273306</v>
      </c>
    </row>
    <row r="88" spans="1:32" s="13" customFormat="1" x14ac:dyDescent="0.25"/>
    <row r="89" spans="1:32" s="13" customFormat="1" x14ac:dyDescent="0.25">
      <c r="A89" s="12" t="s">
        <v>191</v>
      </c>
    </row>
    <row r="90" spans="1:32" s="13" customFormat="1" x14ac:dyDescent="0.25">
      <c r="C90" s="13" t="s">
        <v>273</v>
      </c>
      <c r="D90" s="13" t="s">
        <v>136</v>
      </c>
      <c r="E90" s="13" t="s">
        <v>137</v>
      </c>
    </row>
    <row r="91" spans="1:32" s="13" customFormat="1" x14ac:dyDescent="0.25">
      <c r="A91" s="13" t="s">
        <v>98</v>
      </c>
      <c r="B91" s="13">
        <v>2024</v>
      </c>
      <c r="C91" s="13">
        <v>25</v>
      </c>
      <c r="D91" s="13">
        <f>C57*(C91/100)</f>
        <v>228</v>
      </c>
      <c r="E91" s="13">
        <v>3.5000000000000003E-2</v>
      </c>
      <c r="S91" s="13">
        <f>S57</f>
        <v>0</v>
      </c>
      <c r="T91" s="13">
        <f>T21</f>
        <v>11.400130055357142</v>
      </c>
      <c r="U91" s="13">
        <f t="shared" ref="U91:AF105" si="43">U21</f>
        <v>7.337540129103</v>
      </c>
      <c r="V91" s="13">
        <f t="shared" si="43"/>
        <v>18.867960331979141</v>
      </c>
      <c r="W91" s="13">
        <f t="shared" si="43"/>
        <v>25.628979450938328</v>
      </c>
      <c r="X91" s="13">
        <f t="shared" si="43"/>
        <v>32.389998569897514</v>
      </c>
      <c r="Y91" s="13">
        <f t="shared" si="43"/>
        <v>81.65633943673194</v>
      </c>
      <c r="Z91" s="13">
        <f t="shared" si="43"/>
        <v>51.461837695463885</v>
      </c>
      <c r="AA91" s="13">
        <f t="shared" si="43"/>
        <v>28.558230292478097</v>
      </c>
      <c r="AB91" s="13">
        <f t="shared" si="43"/>
        <v>28.558230292478097</v>
      </c>
      <c r="AC91" s="13">
        <f t="shared" si="43"/>
        <v>28.558230292478097</v>
      </c>
      <c r="AD91" s="13">
        <f t="shared" si="43"/>
        <v>249.6729056429601</v>
      </c>
      <c r="AE91" s="13">
        <f t="shared" si="43"/>
        <v>210.75773745825313</v>
      </c>
      <c r="AF91" s="13">
        <f t="shared" si="43"/>
        <v>165.09465290481748</v>
      </c>
    </row>
    <row r="92" spans="1:32" s="13" customFormat="1" x14ac:dyDescent="0.25">
      <c r="A92" s="13" t="s">
        <v>15</v>
      </c>
      <c r="B92" s="14">
        <f>NPV(E91,S91:AF91)</f>
        <v>647.63414226870702</v>
      </c>
    </row>
    <row r="93" spans="1:32" s="13" customFormat="1" x14ac:dyDescent="0.25">
      <c r="A93" s="13" t="s">
        <v>101</v>
      </c>
      <c r="B93" s="13">
        <v>2025</v>
      </c>
      <c r="C93" s="13">
        <v>25</v>
      </c>
      <c r="D93" s="13">
        <f>C59*(C93/100)</f>
        <v>338.75</v>
      </c>
      <c r="E93" s="13">
        <v>3.5000000000000003E-2</v>
      </c>
      <c r="S93" s="13">
        <f>S59</f>
        <v>0</v>
      </c>
      <c r="T93" s="13">
        <f>T23</f>
        <v>16.937732459752745</v>
      </c>
      <c r="U93" s="13">
        <f t="shared" si="43"/>
        <v>10.901743314853155</v>
      </c>
      <c r="V93" s="13">
        <f t="shared" si="43"/>
        <v>28.03305423819382</v>
      </c>
      <c r="W93" s="13">
        <f t="shared" si="43"/>
        <v>38.078232006879936</v>
      </c>
      <c r="X93" s="13">
        <f t="shared" si="43"/>
        <v>48.123409775566053</v>
      </c>
      <c r="Y93" s="13">
        <f t="shared" si="43"/>
        <v>121.32082917529436</v>
      </c>
      <c r="Z93" s="13">
        <f t="shared" si="43"/>
        <v>76.459376738722582</v>
      </c>
      <c r="AA93" s="13">
        <f t="shared" si="43"/>
        <v>42.430363677359537</v>
      </c>
      <c r="AB93" s="13">
        <f t="shared" si="43"/>
        <v>42.430363677359537</v>
      </c>
      <c r="AC93" s="13">
        <f t="shared" si="43"/>
        <v>42.430363677359537</v>
      </c>
      <c r="AD93" s="13">
        <f t="shared" si="43"/>
        <v>370.95128368665507</v>
      </c>
      <c r="AE93" s="13">
        <f t="shared" si="43"/>
        <v>313.1331093203803</v>
      </c>
      <c r="AF93" s="13">
        <f t="shared" si="43"/>
        <v>245.28922458419595</v>
      </c>
    </row>
    <row r="94" spans="1:32" s="13" customFormat="1" x14ac:dyDescent="0.25">
      <c r="A94" s="13" t="s">
        <v>15</v>
      </c>
      <c r="B94" s="14">
        <f>NPV(E93,S93:AF93)</f>
        <v>962.2218150392107</v>
      </c>
    </row>
    <row r="95" spans="1:32" s="13" customFormat="1" x14ac:dyDescent="0.25">
      <c r="A95" s="13" t="s">
        <v>104</v>
      </c>
      <c r="B95" s="13">
        <v>2026</v>
      </c>
      <c r="C95" s="13">
        <v>25</v>
      </c>
      <c r="D95" s="13">
        <f>C61*(C95/100)</f>
        <v>187.5</v>
      </c>
      <c r="E95" s="13">
        <v>3.5000000000000003E-2</v>
      </c>
      <c r="S95" s="13">
        <f>S61</f>
        <v>0</v>
      </c>
      <c r="T95" s="13">
        <f>T25</f>
        <v>9.3751277696428552</v>
      </c>
      <c r="U95" s="13">
        <f t="shared" si="43"/>
        <v>6.0341746884629996</v>
      </c>
      <c r="V95" s="13">
        <f t="shared" si="43"/>
        <v>15.516449198904855</v>
      </c>
      <c r="W95" s="13">
        <f t="shared" si="43"/>
        <v>21.076510161845757</v>
      </c>
      <c r="X95" s="13">
        <f t="shared" si="43"/>
        <v>26.636571124786663</v>
      </c>
      <c r="Y95" s="13">
        <f t="shared" si="43"/>
        <v>67.151744033038227</v>
      </c>
      <c r="Z95" s="13">
        <f t="shared" si="43"/>
        <v>42.320684177535242</v>
      </c>
      <c r="AA95" s="13">
        <f t="shared" si="43"/>
        <v>23.48543889997574</v>
      </c>
      <c r="AB95" s="13">
        <f t="shared" si="43"/>
        <v>23.48543889997574</v>
      </c>
      <c r="AC95" s="13">
        <f t="shared" si="43"/>
        <v>23.48543889997574</v>
      </c>
      <c r="AD95" s="13">
        <f t="shared" si="43"/>
        <v>205.32356908689724</v>
      </c>
      <c r="AE95" s="13">
        <f t="shared" si="43"/>
        <v>173.32089261415598</v>
      </c>
      <c r="AF95" s="13">
        <f t="shared" si="43"/>
        <v>135.76893049041749</v>
      </c>
    </row>
    <row r="96" spans="1:32" s="13" customFormat="1" x14ac:dyDescent="0.25">
      <c r="A96" s="13" t="s">
        <v>15</v>
      </c>
      <c r="B96" s="14">
        <f>NPV(E95,S95:AF95)</f>
        <v>532.59504955375485</v>
      </c>
    </row>
    <row r="97" spans="1:32" s="13" customFormat="1" x14ac:dyDescent="0.25">
      <c r="A97" s="13" t="s">
        <v>107</v>
      </c>
      <c r="B97" s="13">
        <v>2026</v>
      </c>
      <c r="C97" s="13">
        <v>25</v>
      </c>
      <c r="D97" s="13">
        <f>C63*(C97/100)</f>
        <v>335</v>
      </c>
      <c r="E97" s="13">
        <v>3.5000000000000003E-2</v>
      </c>
      <c r="S97" s="13">
        <f>S63</f>
        <v>0</v>
      </c>
      <c r="T97" s="13">
        <f>T27</f>
        <v>16.750079002747253</v>
      </c>
      <c r="U97" s="13">
        <f t="shared" si="43"/>
        <v>10.780962695293848</v>
      </c>
      <c r="V97" s="13">
        <f t="shared" si="43"/>
        <v>27.722475502184174</v>
      </c>
      <c r="W97" s="13">
        <f t="shared" si="43"/>
        <v>37.656362557133498</v>
      </c>
      <c r="X97" s="13">
        <f t="shared" si="43"/>
        <v>47.590249612082822</v>
      </c>
      <c r="Y97" s="13">
        <f t="shared" si="43"/>
        <v>119.97671342334151</v>
      </c>
      <c r="Z97" s="13">
        <f t="shared" si="43"/>
        <v>75.612281863443386</v>
      </c>
      <c r="AA97" s="13">
        <f t="shared" si="43"/>
        <v>41.960276878847601</v>
      </c>
      <c r="AB97" s="13">
        <f t="shared" si="43"/>
        <v>41.960276878847601</v>
      </c>
      <c r="AC97" s="13">
        <f t="shared" si="43"/>
        <v>41.960276878847601</v>
      </c>
      <c r="AD97" s="13">
        <f t="shared" si="43"/>
        <v>366.84150742647188</v>
      </c>
      <c r="AE97" s="13">
        <f t="shared" si="43"/>
        <v>309.66390170321699</v>
      </c>
      <c r="AF97" s="13">
        <f t="shared" si="43"/>
        <v>242.57166064411155</v>
      </c>
    </row>
    <row r="98" spans="1:32" s="13" customFormat="1" x14ac:dyDescent="0.25">
      <c r="A98" s="13" t="s">
        <v>15</v>
      </c>
      <c r="B98" s="14">
        <f>NPV(E97,S97:AF97)</f>
        <v>951.56134142343819</v>
      </c>
    </row>
    <row r="99" spans="1:32" s="13" customFormat="1" x14ac:dyDescent="0.25">
      <c r="A99" s="13" t="s">
        <v>109</v>
      </c>
      <c r="B99" s="13">
        <v>2027</v>
      </c>
      <c r="C99" s="13">
        <v>25</v>
      </c>
      <c r="D99" s="13">
        <f>C65*(C99/100)</f>
        <v>332.5</v>
      </c>
      <c r="E99" s="13">
        <v>3.5000000000000003E-2</v>
      </c>
      <c r="S99" s="13">
        <f>S65</f>
        <v>0</v>
      </c>
      <c r="T99" s="13">
        <f>T29</f>
        <v>16.625220087774725</v>
      </c>
      <c r="U99" s="13">
        <f t="shared" si="43"/>
        <v>10.700598936754385</v>
      </c>
      <c r="V99" s="13">
        <f t="shared" si="43"/>
        <v>27.515825837368418</v>
      </c>
      <c r="W99" s="13">
        <f t="shared" si="43"/>
        <v>37.375663429092093</v>
      </c>
      <c r="X99" s="13">
        <f t="shared" si="43"/>
        <v>47.235501020815775</v>
      </c>
      <c r="Y99" s="13">
        <f t="shared" si="43"/>
        <v>119.08237959616665</v>
      </c>
      <c r="Z99" s="13">
        <f t="shared" si="43"/>
        <v>75.048650642926873</v>
      </c>
      <c r="AA99" s="13">
        <f t="shared" si="43"/>
        <v>41.647495390343551</v>
      </c>
      <c r="AB99" s="13">
        <f t="shared" si="43"/>
        <v>41.647495390343551</v>
      </c>
      <c r="AC99" s="13">
        <f t="shared" si="43"/>
        <v>41.647495390343551</v>
      </c>
      <c r="AD99" s="13">
        <f t="shared" si="43"/>
        <v>364.10698703545506</v>
      </c>
      <c r="AE99" s="13">
        <f t="shared" si="43"/>
        <v>307.35559624588268</v>
      </c>
      <c r="AF99" s="13">
        <f t="shared" si="43"/>
        <v>240.76347607697366</v>
      </c>
    </row>
    <row r="100" spans="1:32" s="13" customFormat="1" x14ac:dyDescent="0.25">
      <c r="A100" s="13" t="s">
        <v>15</v>
      </c>
      <c r="B100" s="14">
        <f>NPV(E99,S99:AF99)</f>
        <v>944.46818582695141</v>
      </c>
    </row>
    <row r="101" spans="1:32" s="13" customFormat="1" x14ac:dyDescent="0.25">
      <c r="A101" s="13" t="s">
        <v>111</v>
      </c>
      <c r="B101" s="13">
        <v>2028</v>
      </c>
      <c r="C101" s="13">
        <v>25</v>
      </c>
      <c r="D101" s="13">
        <f>C67*(C101/100)</f>
        <v>362.63724999999999</v>
      </c>
      <c r="E101" s="13">
        <v>3.5000000000000003E-2</v>
      </c>
      <c r="S101" s="13">
        <f>S67</f>
        <v>0</v>
      </c>
      <c r="T101" s="13">
        <f>T31</f>
        <v>18.13204570686813</v>
      </c>
      <c r="U101" s="13">
        <f t="shared" si="43"/>
        <v>11.670446946730616</v>
      </c>
      <c r="V101" s="13">
        <f t="shared" si="43"/>
        <v>30.009720720164434</v>
      </c>
      <c r="W101" s="13">
        <f t="shared" si="43"/>
        <v>40.763203978223352</v>
      </c>
      <c r="X101" s="13">
        <f t="shared" si="43"/>
        <v>51.516687236282266</v>
      </c>
      <c r="Y101" s="13">
        <f t="shared" si="43"/>
        <v>129.87540245004496</v>
      </c>
      <c r="Z101" s="13">
        <f t="shared" si="43"/>
        <v>81.850679660895153</v>
      </c>
      <c r="AA101" s="13">
        <f t="shared" si="43"/>
        <v>45.422213120028886</v>
      </c>
      <c r="AB101" s="13">
        <f t="shared" si="43"/>
        <v>45.422213120028886</v>
      </c>
      <c r="AC101" s="13">
        <f t="shared" si="43"/>
        <v>45.422213120028886</v>
      </c>
      <c r="AD101" s="13">
        <f t="shared" si="43"/>
        <v>397.1077974463426</v>
      </c>
      <c r="AE101" s="13">
        <f t="shared" si="43"/>
        <v>335.21274846100346</v>
      </c>
      <c r="AF101" s="13">
        <f t="shared" si="43"/>
        <v>262.58505630143884</v>
      </c>
    </row>
    <row r="102" spans="1:32" s="13" customFormat="1" x14ac:dyDescent="0.25">
      <c r="A102" s="13" t="s">
        <v>15</v>
      </c>
      <c r="B102" s="14">
        <f>NPV(E101,S101:AF101)</f>
        <v>1030.0699914757815</v>
      </c>
    </row>
    <row r="103" spans="1:32" s="13" customFormat="1" x14ac:dyDescent="0.25">
      <c r="A103" s="13" t="s">
        <v>113</v>
      </c>
      <c r="B103" s="13">
        <v>2029</v>
      </c>
      <c r="C103" s="13">
        <v>25</v>
      </c>
      <c r="D103" s="13">
        <f>C69*(C103/100)</f>
        <v>327.5</v>
      </c>
      <c r="E103" s="13">
        <v>3.5000000000000003E-2</v>
      </c>
      <c r="S103" s="13">
        <f>S69</f>
        <v>0</v>
      </c>
      <c r="T103" s="13">
        <f>T33</f>
        <v>16.375258868131869</v>
      </c>
      <c r="U103" s="13">
        <f t="shared" si="43"/>
        <v>10.539714765175386</v>
      </c>
      <c r="V103" s="13">
        <f t="shared" si="43"/>
        <v>27.102123681879561</v>
      </c>
      <c r="W103" s="13">
        <f t="shared" si="43"/>
        <v>36.813718001219726</v>
      </c>
      <c r="X103" s="13">
        <f t="shared" si="43"/>
        <v>46.525312320559905</v>
      </c>
      <c r="Y103" s="13">
        <f t="shared" si="43"/>
        <v>117.2919686010232</v>
      </c>
      <c r="Z103" s="13">
        <f t="shared" si="43"/>
        <v>73.920289505557562</v>
      </c>
      <c r="AA103" s="13">
        <f t="shared" si="43"/>
        <v>41.02132270283154</v>
      </c>
      <c r="AB103" s="13">
        <f t="shared" si="43"/>
        <v>41.02132270283154</v>
      </c>
      <c r="AC103" s="13">
        <f t="shared" si="43"/>
        <v>41.02132270283154</v>
      </c>
      <c r="AD103" s="13">
        <f t="shared" si="43"/>
        <v>358.632615804316</v>
      </c>
      <c r="AE103" s="13">
        <f t="shared" si="43"/>
        <v>302.7344857104394</v>
      </c>
      <c r="AF103" s="13">
        <f t="shared" si="43"/>
        <v>237.14358221644616</v>
      </c>
    </row>
    <row r="104" spans="1:32" s="13" customFormat="1" x14ac:dyDescent="0.25">
      <c r="A104" s="13" t="s">
        <v>15</v>
      </c>
      <c r="B104" s="14">
        <f>NPV(E103,S103:AF103)</f>
        <v>930.2680478199494</v>
      </c>
    </row>
    <row r="105" spans="1:32" s="13" customFormat="1" x14ac:dyDescent="0.25">
      <c r="A105" s="13" t="s">
        <v>115</v>
      </c>
      <c r="B105" s="13">
        <v>2030</v>
      </c>
      <c r="C105" s="13">
        <v>25</v>
      </c>
      <c r="D105" s="13">
        <f>C71*(C105/100)</f>
        <v>400</v>
      </c>
      <c r="E105" s="13">
        <v>3.5000000000000003E-2</v>
      </c>
      <c r="S105" s="13">
        <f>S71</f>
        <v>0</v>
      </c>
      <c r="T105" s="13">
        <f>T35</f>
        <v>20.000061637499996</v>
      </c>
      <c r="U105" s="13">
        <f t="shared" si="43"/>
        <v>12.872770234821001</v>
      </c>
      <c r="V105" s="13">
        <f t="shared" si="43"/>
        <v>33.101409175253998</v>
      </c>
      <c r="W105" s="13">
        <f t="shared" si="43"/>
        <v>44.962747463053333</v>
      </c>
      <c r="X105" s="13">
        <f t="shared" si="43"/>
        <v>56.824085750852682</v>
      </c>
      <c r="Y105" s="13">
        <f t="shared" si="43"/>
        <v>143.25554304179366</v>
      </c>
      <c r="Z105" s="13">
        <f t="shared" si="43"/>
        <v>90.283174041917064</v>
      </c>
      <c r="AA105" s="13">
        <f t="shared" si="43"/>
        <v>50.101741237511533</v>
      </c>
      <c r="AB105" s="13">
        <f t="shared" si="43"/>
        <v>50.101741237511533</v>
      </c>
      <c r="AC105" s="13">
        <f t="shared" si="43"/>
        <v>50.101741237511533</v>
      </c>
      <c r="AD105" s="13">
        <f t="shared" si="43"/>
        <v>438.01899432948954</v>
      </c>
      <c r="AE105" s="13">
        <f t="shared" si="43"/>
        <v>369.74733790552818</v>
      </c>
      <c r="AF105" s="13">
        <f t="shared" si="43"/>
        <v>289.63733028347247</v>
      </c>
    </row>
    <row r="106" spans="1:32" s="13" customFormat="1" x14ac:dyDescent="0.25">
      <c r="A106" s="13" t="s">
        <v>15</v>
      </c>
      <c r="B106" s="14">
        <f>NPV(E105,S105:AF105)</f>
        <v>1136.1907891425194</v>
      </c>
    </row>
    <row r="107" spans="1:32" s="13" customFormat="1" x14ac:dyDescent="0.25">
      <c r="A107" s="13" t="s">
        <v>118</v>
      </c>
      <c r="B107" s="13">
        <v>2031</v>
      </c>
      <c r="C107" s="13">
        <v>25</v>
      </c>
      <c r="D107" s="13">
        <f>C73*(C107/100)</f>
        <v>437.5</v>
      </c>
      <c r="E107" s="13">
        <v>3.5000000000000003E-2</v>
      </c>
      <c r="S107" s="13">
        <f>S73</f>
        <v>0</v>
      </c>
      <c r="T107" s="13">
        <f>T37</f>
        <v>21.87513586936813</v>
      </c>
      <c r="U107" s="13">
        <f t="shared" ref="U107:AF115" si="44">U37</f>
        <v>14.079636503413616</v>
      </c>
      <c r="V107" s="13">
        <f t="shared" si="44"/>
        <v>36.204779580206434</v>
      </c>
      <c r="W107" s="13">
        <f t="shared" si="44"/>
        <v>49.178158929780402</v>
      </c>
      <c r="X107" s="13">
        <f t="shared" si="44"/>
        <v>62.151538279354369</v>
      </c>
      <c r="Y107" s="13">
        <f t="shared" si="44"/>
        <v>156.68624051656005</v>
      </c>
      <c r="Z107" s="13">
        <f t="shared" si="44"/>
        <v>98.747530616691378</v>
      </c>
      <c r="AA107" s="13">
        <f t="shared" si="44"/>
        <v>54.79895095960746</v>
      </c>
      <c r="AB107" s="13">
        <f t="shared" si="44"/>
        <v>54.79895095960746</v>
      </c>
      <c r="AC107" s="13">
        <f t="shared" si="44"/>
        <v>54.79895095960746</v>
      </c>
      <c r="AD107" s="13">
        <f t="shared" si="44"/>
        <v>479.08477423669007</v>
      </c>
      <c r="AE107" s="13">
        <f t="shared" si="44"/>
        <v>404.4124163525143</v>
      </c>
      <c r="AF107" s="13">
        <f t="shared" si="44"/>
        <v>316.79182132680631</v>
      </c>
    </row>
    <row r="108" spans="1:32" s="13" customFormat="1" x14ac:dyDescent="0.25">
      <c r="A108" s="13" t="s">
        <v>15</v>
      </c>
      <c r="B108" s="14">
        <f>NPV(E107,S107:AF107)</f>
        <v>1242.7125644160758</v>
      </c>
    </row>
    <row r="109" spans="1:32" s="13" customFormat="1" x14ac:dyDescent="0.25">
      <c r="A109" s="13" t="s">
        <v>120</v>
      </c>
      <c r="B109" s="13">
        <v>2032</v>
      </c>
      <c r="C109" s="13">
        <v>25</v>
      </c>
      <c r="D109" s="13">
        <f>C75*(C109/100)</f>
        <v>343.40649999999999</v>
      </c>
      <c r="E109" s="13">
        <v>3.5000000000000003E-2</v>
      </c>
      <c r="S109" s="13">
        <f>S75</f>
        <v>0</v>
      </c>
      <c r="T109" s="13">
        <f>T39</f>
        <v>17.170413010851647</v>
      </c>
      <c r="U109" s="13">
        <f t="shared" si="44"/>
        <v>11.051505016926694</v>
      </c>
      <c r="V109" s="13">
        <f t="shared" si="44"/>
        <v>28.418155757811491</v>
      </c>
      <c r="W109" s="13">
        <f t="shared" si="44"/>
        <v>38.601328237693934</v>
      </c>
      <c r="X109" s="13">
        <f t="shared" si="44"/>
        <v>48.784500717576385</v>
      </c>
      <c r="Y109" s="13">
        <f t="shared" si="44"/>
        <v>122.98746297408417</v>
      </c>
      <c r="Z109" s="13">
        <f t="shared" si="44"/>
        <v>77.509730436215349</v>
      </c>
      <c r="AA109" s="13">
        <f t="shared" si="44"/>
        <v>43.013246919094179</v>
      </c>
      <c r="AB109" s="13">
        <f t="shared" si="44"/>
        <v>43.013246919094179</v>
      </c>
      <c r="AC109" s="13">
        <f t="shared" si="44"/>
        <v>43.013246919094179</v>
      </c>
      <c r="AD109" s="13">
        <f t="shared" si="44"/>
        <v>376.04719303131805</v>
      </c>
      <c r="AE109" s="13">
        <f t="shared" si="44"/>
        <v>317.43474678083186</v>
      </c>
      <c r="AF109" s="13">
        <f t="shared" si="44"/>
        <v>248.65886288085056</v>
      </c>
    </row>
    <row r="110" spans="1:32" s="13" customFormat="1" x14ac:dyDescent="0.25">
      <c r="A110" s="13" t="s">
        <v>15</v>
      </c>
      <c r="B110" s="14">
        <f>NPV(E109,S109:AF109)</f>
        <v>975.44024925020744</v>
      </c>
    </row>
    <row r="111" spans="1:32" s="13" customFormat="1" x14ac:dyDescent="0.25">
      <c r="A111" s="13" t="s">
        <v>122</v>
      </c>
      <c r="B111" s="13">
        <v>2034</v>
      </c>
      <c r="C111" s="13">
        <v>25</v>
      </c>
      <c r="D111" s="13">
        <f>C77*(C111/100)</f>
        <v>750</v>
      </c>
      <c r="E111" s="13">
        <v>3.5000000000000003E-2</v>
      </c>
      <c r="S111" s="13">
        <f>S77</f>
        <v>0</v>
      </c>
      <c r="T111" s="13">
        <f>T41</f>
        <v>37.50026768887362</v>
      </c>
      <c r="U111" s="13">
        <f t="shared" si="44"/>
        <v>24.136542099351924</v>
      </c>
      <c r="V111" s="13">
        <f t="shared" si="44"/>
        <v>62.065393969762077</v>
      </c>
      <c r="W111" s="13">
        <f t="shared" si="44"/>
        <v>84.30549347559348</v>
      </c>
      <c r="X111" s="13">
        <f t="shared" si="44"/>
        <v>106.54559298142487</v>
      </c>
      <c r="Y111" s="13">
        <f t="shared" si="44"/>
        <v>268.60523279135919</v>
      </c>
      <c r="Z111" s="13">
        <f t="shared" si="44"/>
        <v>169.28163801380467</v>
      </c>
      <c r="AA111" s="13">
        <f t="shared" si="44"/>
        <v>93.941145889399053</v>
      </c>
      <c r="AB111" s="13">
        <f t="shared" si="44"/>
        <v>93.941145889399053</v>
      </c>
      <c r="AC111" s="13">
        <f t="shared" si="44"/>
        <v>93.941145889399053</v>
      </c>
      <c r="AD111" s="13">
        <f t="shared" si="44"/>
        <v>821.28894589848369</v>
      </c>
      <c r="AE111" s="13">
        <f t="shared" si="44"/>
        <v>693.27907083584944</v>
      </c>
      <c r="AF111" s="13">
        <f t="shared" si="44"/>
        <v>543.07219723541823</v>
      </c>
    </row>
    <row r="112" spans="1:32" s="13" customFormat="1" x14ac:dyDescent="0.25">
      <c r="A112" s="13" t="s">
        <v>15</v>
      </c>
      <c r="B112" s="14">
        <f>NPV(E111,S111:AF111)</f>
        <v>2130.3663714009913</v>
      </c>
    </row>
    <row r="113" spans="1:32" s="13" customFormat="1" x14ac:dyDescent="0.25">
      <c r="A113" s="13" t="s">
        <v>124</v>
      </c>
      <c r="B113" s="13">
        <v>2035</v>
      </c>
      <c r="C113" s="13">
        <v>25</v>
      </c>
      <c r="D113" s="13">
        <f>C79*(C113/100)</f>
        <v>650</v>
      </c>
      <c r="E113" s="13">
        <v>3.5000000000000003E-2</v>
      </c>
      <c r="S113" s="13">
        <f>S79</f>
        <v>0</v>
      </c>
      <c r="T113" s="13">
        <f>T43</f>
        <v>32.500313126923075</v>
      </c>
      <c r="U113" s="13">
        <f t="shared" si="44"/>
        <v>20.918388704271695</v>
      </c>
      <c r="V113" s="13">
        <f t="shared" si="44"/>
        <v>53.790142382412924</v>
      </c>
      <c r="W113" s="13">
        <f t="shared" si="44"/>
        <v>73.064943402777544</v>
      </c>
      <c r="X113" s="13">
        <f t="shared" si="44"/>
        <v>92.339744423142164</v>
      </c>
      <c r="Y113" s="13">
        <f t="shared" si="44"/>
        <v>232.79178286610923</v>
      </c>
      <c r="Z113" s="13">
        <f t="shared" si="44"/>
        <v>146.7111191774095</v>
      </c>
      <c r="AA113" s="13">
        <f t="shared" si="44"/>
        <v>81.415863007647161</v>
      </c>
      <c r="AB113" s="13">
        <f t="shared" si="44"/>
        <v>81.415863007647161</v>
      </c>
      <c r="AC113" s="13">
        <f t="shared" si="44"/>
        <v>81.415863007647161</v>
      </c>
      <c r="AD113" s="13">
        <f t="shared" si="44"/>
        <v>711.78552992838775</v>
      </c>
      <c r="AE113" s="13">
        <f t="shared" si="44"/>
        <v>600.8433612646611</v>
      </c>
      <c r="AF113" s="13">
        <f t="shared" si="44"/>
        <v>470.6637458461131</v>
      </c>
    </row>
    <row r="114" spans="1:32" s="13" customFormat="1" x14ac:dyDescent="0.25">
      <c r="A114" s="13" t="s">
        <v>15</v>
      </c>
      <c r="B114" s="14">
        <f>NPV(E113,S113:AF113)</f>
        <v>1846.322130818869</v>
      </c>
    </row>
    <row r="115" spans="1:32" s="13" customFormat="1" x14ac:dyDescent="0.25">
      <c r="A115" s="13" t="s">
        <v>126</v>
      </c>
      <c r="B115" s="13" t="s">
        <v>272</v>
      </c>
      <c r="C115" s="13">
        <v>25</v>
      </c>
      <c r="D115" s="13">
        <f>C81*(C115/100)</f>
        <v>175</v>
      </c>
      <c r="E115" s="13">
        <v>3.5000000000000003E-2</v>
      </c>
      <c r="S115" s="13">
        <f>S81</f>
        <v>0</v>
      </c>
      <c r="T115" s="13">
        <f>T45</f>
        <v>8.750103025686812</v>
      </c>
      <c r="U115" s="13">
        <f t="shared" si="44"/>
        <v>5.6318859322654617</v>
      </c>
      <c r="V115" s="13">
        <f t="shared" si="44"/>
        <v>14.481992397254041</v>
      </c>
      <c r="W115" s="13">
        <f t="shared" si="44"/>
        <v>19.67137300627007</v>
      </c>
      <c r="X115" s="13">
        <f t="shared" si="44"/>
        <v>24.8607536152861</v>
      </c>
      <c r="Y115" s="13">
        <f t="shared" si="44"/>
        <v>62.674844874782764</v>
      </c>
      <c r="Z115" s="13">
        <f t="shared" si="44"/>
        <v>39.499231985943808</v>
      </c>
      <c r="AA115" s="13">
        <f t="shared" si="44"/>
        <v>21.919702325943764</v>
      </c>
      <c r="AB115" s="13">
        <f t="shared" si="44"/>
        <v>21.919702325943764</v>
      </c>
      <c r="AC115" s="13">
        <f t="shared" si="44"/>
        <v>21.919702325943764</v>
      </c>
      <c r="AD115" s="13">
        <f t="shared" si="44"/>
        <v>191.63497578449707</v>
      </c>
      <c r="AE115" s="13">
        <f t="shared" si="44"/>
        <v>161.7658664651606</v>
      </c>
      <c r="AF115" s="13">
        <f t="shared" si="44"/>
        <v>126.71743347597287</v>
      </c>
    </row>
    <row r="116" spans="1:32" s="13" customFormat="1" x14ac:dyDescent="0.25">
      <c r="A116" s="13" t="s">
        <v>15</v>
      </c>
      <c r="B116" s="14">
        <f>NPV(E115,S115:AF115)</f>
        <v>497.08779112923594</v>
      </c>
    </row>
    <row r="117" spans="1:32" s="13" customFormat="1" x14ac:dyDescent="0.25"/>
    <row r="118" spans="1:32" s="13" customFormat="1" x14ac:dyDescent="0.25">
      <c r="A118" s="13" t="s">
        <v>132</v>
      </c>
      <c r="B118" s="14">
        <f>B92+B94+B96+B98+B100+B102+B104+B106+B108+B110+B112+B114+B116</f>
        <v>13826.93846956569</v>
      </c>
    </row>
    <row r="119" spans="1:32" s="13" customFormat="1" x14ac:dyDescent="0.25">
      <c r="A119" s="13" t="s">
        <v>138</v>
      </c>
      <c r="B119" s="13">
        <f>SUM(D91:D115)</f>
        <v>4867.7937499999998</v>
      </c>
    </row>
    <row r="120" spans="1:32" s="13" customFormat="1" x14ac:dyDescent="0.25">
      <c r="A120" s="13" t="s">
        <v>41</v>
      </c>
      <c r="B120" s="15">
        <f>B118-B119</f>
        <v>8959.144719565691</v>
      </c>
    </row>
    <row r="121" spans="1:32" s="13" customFormat="1" x14ac:dyDescent="0.25">
      <c r="A121" s="13" t="s">
        <v>40</v>
      </c>
      <c r="B121" s="16">
        <f>B120/B119</f>
        <v>1.8404939033346865</v>
      </c>
    </row>
    <row r="122" spans="1:32" s="13" customFormat="1" x14ac:dyDescent="0.25"/>
    <row r="123" spans="1:32" s="13" customFormat="1" x14ac:dyDescent="0.25"/>
    <row r="124" spans="1:32" s="13" customFormat="1" x14ac:dyDescent="0.25"/>
    <row r="125" spans="1:32" s="13" customFormat="1" x14ac:dyDescent="0.25">
      <c r="A125" s="12" t="s">
        <v>194</v>
      </c>
    </row>
    <row r="126" spans="1:32" s="13" customFormat="1" x14ac:dyDescent="0.25">
      <c r="C126" s="13" t="s">
        <v>273</v>
      </c>
      <c r="D126" s="13" t="s">
        <v>136</v>
      </c>
      <c r="E126" s="13" t="s">
        <v>137</v>
      </c>
    </row>
    <row r="127" spans="1:32" s="13" customFormat="1" x14ac:dyDescent="0.25">
      <c r="A127" s="13" t="s">
        <v>98</v>
      </c>
      <c r="B127" s="13">
        <v>2024</v>
      </c>
      <c r="C127" s="13">
        <v>25</v>
      </c>
      <c r="D127" s="13">
        <f>D91</f>
        <v>228</v>
      </c>
      <c r="E127" s="13">
        <v>3.5000000000000003E-2</v>
      </c>
      <c r="S127" s="13">
        <f>S57</f>
        <v>0</v>
      </c>
      <c r="T127" s="13">
        <f t="shared" ref="T127:AF141" si="45">T57</f>
        <v>11.400130055357142</v>
      </c>
      <c r="U127" s="13">
        <f t="shared" si="45"/>
        <v>7.337540129103</v>
      </c>
      <c r="V127" s="13">
        <f t="shared" si="45"/>
        <v>18.867960331979141</v>
      </c>
      <c r="W127" s="13">
        <f t="shared" si="45"/>
        <v>25.628979450938328</v>
      </c>
      <c r="X127" s="13">
        <f t="shared" si="45"/>
        <v>32.389998569897514</v>
      </c>
      <c r="Y127" s="13">
        <f t="shared" si="45"/>
        <v>81.65633943673194</v>
      </c>
      <c r="Z127" s="13">
        <f t="shared" si="45"/>
        <v>55.235429761859713</v>
      </c>
      <c r="AA127" s="13">
        <f t="shared" si="45"/>
        <v>32.331822358873929</v>
      </c>
      <c r="AB127" s="13">
        <f t="shared" si="45"/>
        <v>32.331822358873929</v>
      </c>
      <c r="AC127" s="13">
        <f t="shared" si="45"/>
        <v>32.331822358873929</v>
      </c>
      <c r="AD127" s="13">
        <f t="shared" si="45"/>
        <v>259.1068858089497</v>
      </c>
      <c r="AE127" s="13">
        <f t="shared" si="45"/>
        <v>283.65667446988658</v>
      </c>
      <c r="AF127" s="13">
        <f t="shared" si="45"/>
        <v>222.2702897026949</v>
      </c>
    </row>
    <row r="128" spans="1:32" s="13" customFormat="1" x14ac:dyDescent="0.25">
      <c r="A128" s="13" t="s">
        <v>15</v>
      </c>
      <c r="B128" s="14">
        <f>NPV(E127,S127:AF127)</f>
        <v>746.70573003160075</v>
      </c>
    </row>
    <row r="129" spans="1:32" s="13" customFormat="1" x14ac:dyDescent="0.25">
      <c r="A129" s="13" t="s">
        <v>101</v>
      </c>
      <c r="B129" s="13">
        <v>2025</v>
      </c>
      <c r="C129" s="13">
        <v>25</v>
      </c>
      <c r="D129" s="13">
        <f t="shared" ref="D129:D151" si="46">D93</f>
        <v>338.75</v>
      </c>
      <c r="E129" s="13">
        <v>3.5000000000000003E-2</v>
      </c>
      <c r="S129" s="13">
        <f>S59</f>
        <v>0</v>
      </c>
      <c r="T129" s="13">
        <f t="shared" si="45"/>
        <v>16.937732459752745</v>
      </c>
      <c r="U129" s="13">
        <f t="shared" si="45"/>
        <v>10.901743314853155</v>
      </c>
      <c r="V129" s="13">
        <f t="shared" si="45"/>
        <v>28.03305423819382</v>
      </c>
      <c r="W129" s="13">
        <f t="shared" si="45"/>
        <v>38.078232006879936</v>
      </c>
      <c r="X129" s="13">
        <f t="shared" si="45"/>
        <v>48.123409775566053</v>
      </c>
      <c r="Y129" s="13">
        <f t="shared" si="45"/>
        <v>121.32082917529436</v>
      </c>
      <c r="Z129" s="13">
        <f t="shared" si="45"/>
        <v>82.065987586361345</v>
      </c>
      <c r="AA129" s="13">
        <f t="shared" si="45"/>
        <v>48.0369745249983</v>
      </c>
      <c r="AB129" s="13">
        <f t="shared" si="45"/>
        <v>48.0369745249983</v>
      </c>
      <c r="AC129" s="13">
        <f t="shared" si="45"/>
        <v>48.0369745249983</v>
      </c>
      <c r="AD129" s="13">
        <f t="shared" si="45"/>
        <v>384.96781080575204</v>
      </c>
      <c r="AE129" s="13">
        <f t="shared" si="45"/>
        <v>421.44263611592646</v>
      </c>
      <c r="AF129" s="13">
        <f t="shared" si="45"/>
        <v>330.23787294135741</v>
      </c>
    </row>
    <row r="130" spans="1:32" s="13" customFormat="1" x14ac:dyDescent="0.25">
      <c r="A130" s="13" t="s">
        <v>15</v>
      </c>
      <c r="B130" s="14">
        <f>NPV(E129,S129:AF129)</f>
        <v>1109.4173329624698</v>
      </c>
    </row>
    <row r="131" spans="1:32" s="13" customFormat="1" x14ac:dyDescent="0.25">
      <c r="A131" s="13" t="s">
        <v>104</v>
      </c>
      <c r="B131" s="13">
        <v>2026</v>
      </c>
      <c r="C131" s="13">
        <v>25</v>
      </c>
      <c r="D131" s="13">
        <f t="shared" si="46"/>
        <v>187.5</v>
      </c>
      <c r="E131" s="13">
        <v>3.5000000000000003E-2</v>
      </c>
      <c r="S131" s="13">
        <f>S61</f>
        <v>0</v>
      </c>
      <c r="T131" s="13">
        <f t="shared" si="45"/>
        <v>9.3751277696428552</v>
      </c>
      <c r="U131" s="13">
        <f t="shared" si="45"/>
        <v>6.0341746884629996</v>
      </c>
      <c r="V131" s="13">
        <f t="shared" si="45"/>
        <v>15.516449198904855</v>
      </c>
      <c r="W131" s="13">
        <f t="shared" si="45"/>
        <v>21.076510161845757</v>
      </c>
      <c r="X131" s="13">
        <f t="shared" si="45"/>
        <v>26.636571124786663</v>
      </c>
      <c r="Y131" s="13">
        <f t="shared" si="45"/>
        <v>67.151744033038227</v>
      </c>
      <c r="Z131" s="13">
        <f t="shared" si="45"/>
        <v>45.423974017316212</v>
      </c>
      <c r="AA131" s="13">
        <f t="shared" si="45"/>
        <v>26.588728739756714</v>
      </c>
      <c r="AB131" s="13">
        <f t="shared" si="45"/>
        <v>26.588728739756714</v>
      </c>
      <c r="AC131" s="13">
        <f t="shared" si="45"/>
        <v>26.588728739756714</v>
      </c>
      <c r="AD131" s="13">
        <f t="shared" si="45"/>
        <v>213.0817936863497</v>
      </c>
      <c r="AE131" s="13">
        <f t="shared" si="45"/>
        <v>233.27080945164417</v>
      </c>
      <c r="AF131" s="13">
        <f t="shared" si="45"/>
        <v>182.78847304720648</v>
      </c>
    </row>
    <row r="132" spans="1:32" s="13" customFormat="1" x14ac:dyDescent="0.25">
      <c r="A132" s="13" t="s">
        <v>15</v>
      </c>
      <c r="B132" s="14">
        <f>NPV(E131,S131:AF131)</f>
        <v>614.06857565463019</v>
      </c>
    </row>
    <row r="133" spans="1:32" s="13" customFormat="1" x14ac:dyDescent="0.25">
      <c r="A133" s="13" t="s">
        <v>107</v>
      </c>
      <c r="B133" s="13">
        <v>2026</v>
      </c>
      <c r="C133" s="13">
        <v>25</v>
      </c>
      <c r="D133" s="13">
        <f t="shared" si="46"/>
        <v>335</v>
      </c>
      <c r="E133" s="13">
        <v>3.5000000000000003E-2</v>
      </c>
      <c r="S133" s="13">
        <f>S63</f>
        <v>0</v>
      </c>
      <c r="T133" s="13">
        <f t="shared" si="45"/>
        <v>16.750079002747253</v>
      </c>
      <c r="U133" s="13">
        <f t="shared" si="45"/>
        <v>10.780962695293848</v>
      </c>
      <c r="V133" s="13">
        <f t="shared" si="45"/>
        <v>27.722475502184174</v>
      </c>
      <c r="W133" s="13">
        <f t="shared" si="45"/>
        <v>37.656362557133498</v>
      </c>
      <c r="X133" s="13">
        <f t="shared" si="45"/>
        <v>47.590249612082822</v>
      </c>
      <c r="Y133" s="13">
        <f t="shared" si="45"/>
        <v>119.97671342334151</v>
      </c>
      <c r="Z133" s="13">
        <f t="shared" si="45"/>
        <v>81.156776963880219</v>
      </c>
      <c r="AA133" s="13">
        <f t="shared" si="45"/>
        <v>47.504771979284442</v>
      </c>
      <c r="AB133" s="13">
        <f t="shared" si="45"/>
        <v>47.504771979284442</v>
      </c>
      <c r="AC133" s="13">
        <f t="shared" si="45"/>
        <v>47.504771979284442</v>
      </c>
      <c r="AD133" s="13">
        <f t="shared" si="45"/>
        <v>380.702745177564</v>
      </c>
      <c r="AE133" s="13">
        <f t="shared" si="45"/>
        <v>416.77346521099082</v>
      </c>
      <c r="AF133" s="13">
        <f t="shared" si="45"/>
        <v>326.57916132580675</v>
      </c>
    </row>
    <row r="134" spans="1:32" s="13" customFormat="1" x14ac:dyDescent="0.25">
      <c r="A134" s="13" t="s">
        <v>15</v>
      </c>
      <c r="B134" s="14">
        <f>NPV(E133,S133:AF133)</f>
        <v>1097.1260774306618</v>
      </c>
    </row>
    <row r="135" spans="1:32" s="13" customFormat="1" x14ac:dyDescent="0.25">
      <c r="A135" s="13" t="s">
        <v>109</v>
      </c>
      <c r="B135" s="13">
        <v>2027</v>
      </c>
      <c r="C135" s="13">
        <v>25</v>
      </c>
      <c r="D135" s="13">
        <f t="shared" si="46"/>
        <v>332.5</v>
      </c>
      <c r="E135" s="13">
        <v>3.5000000000000003E-2</v>
      </c>
      <c r="S135" s="13">
        <f>S65</f>
        <v>0</v>
      </c>
      <c r="T135" s="13">
        <f t="shared" si="45"/>
        <v>16.625220087774725</v>
      </c>
      <c r="U135" s="13">
        <f t="shared" si="45"/>
        <v>10.700598936754385</v>
      </c>
      <c r="V135" s="13">
        <f t="shared" si="45"/>
        <v>27.515825837368418</v>
      </c>
      <c r="W135" s="13">
        <f t="shared" si="45"/>
        <v>37.375663429092093</v>
      </c>
      <c r="X135" s="13">
        <f t="shared" si="45"/>
        <v>47.235501020815775</v>
      </c>
      <c r="Y135" s="13">
        <f t="shared" si="45"/>
        <v>119.08237959616665</v>
      </c>
      <c r="Z135" s="13">
        <f t="shared" si="45"/>
        <v>80.551815810400555</v>
      </c>
      <c r="AA135" s="13">
        <f t="shared" si="45"/>
        <v>47.150660557817233</v>
      </c>
      <c r="AB135" s="13">
        <f t="shared" si="45"/>
        <v>47.150660557817233</v>
      </c>
      <c r="AC135" s="13">
        <f t="shared" si="45"/>
        <v>47.150660557817233</v>
      </c>
      <c r="AD135" s="13">
        <f t="shared" si="45"/>
        <v>377.86489995413928</v>
      </c>
      <c r="AE135" s="13">
        <f t="shared" si="45"/>
        <v>413.66674060109199</v>
      </c>
      <c r="AF135" s="13">
        <f t="shared" si="45"/>
        <v>324.14476565942869</v>
      </c>
    </row>
    <row r="136" spans="1:32" s="13" customFormat="1" x14ac:dyDescent="0.25">
      <c r="A136" s="13" t="s">
        <v>15</v>
      </c>
      <c r="B136" s="14">
        <f>NPV(E135,S135:AF135)</f>
        <v>1088.9478490417932</v>
      </c>
    </row>
    <row r="137" spans="1:32" s="13" customFormat="1" x14ac:dyDescent="0.25">
      <c r="A137" s="13" t="s">
        <v>111</v>
      </c>
      <c r="B137" s="13">
        <v>2028</v>
      </c>
      <c r="C137" s="13">
        <v>25</v>
      </c>
      <c r="D137" s="13">
        <f t="shared" si="46"/>
        <v>362.63724999999999</v>
      </c>
      <c r="E137" s="13">
        <v>3.5000000000000003E-2</v>
      </c>
      <c r="S137" s="13">
        <f>S67</f>
        <v>0</v>
      </c>
      <c r="T137" s="13">
        <f t="shared" si="45"/>
        <v>18.13204570686813</v>
      </c>
      <c r="U137" s="13">
        <f t="shared" si="45"/>
        <v>11.670446946730616</v>
      </c>
      <c r="V137" s="13">
        <f t="shared" si="45"/>
        <v>30.009720720164434</v>
      </c>
      <c r="W137" s="13">
        <f t="shared" si="45"/>
        <v>40.763203978223352</v>
      </c>
      <c r="X137" s="13">
        <f t="shared" si="45"/>
        <v>51.516687236282266</v>
      </c>
      <c r="Y137" s="13">
        <f t="shared" si="45"/>
        <v>129.87540245004496</v>
      </c>
      <c r="Z137" s="13">
        <f t="shared" si="45"/>
        <v>87.852623804928044</v>
      </c>
      <c r="AA137" s="13">
        <f t="shared" si="45"/>
        <v>51.424157264061776</v>
      </c>
      <c r="AB137" s="13">
        <f t="shared" si="45"/>
        <v>51.424157264061776</v>
      </c>
      <c r="AC137" s="13">
        <f t="shared" si="45"/>
        <v>51.424157264061776</v>
      </c>
      <c r="AD137" s="13">
        <f t="shared" si="45"/>
        <v>412.11265780642486</v>
      </c>
      <c r="AE137" s="13">
        <f t="shared" si="45"/>
        <v>451.15939568858454</v>
      </c>
      <c r="AF137" s="13">
        <f t="shared" si="45"/>
        <v>353.52360302891526</v>
      </c>
    </row>
    <row r="138" spans="1:32" s="13" customFormat="1" x14ac:dyDescent="0.25">
      <c r="A138" s="13" t="s">
        <v>15</v>
      </c>
      <c r="B138" s="14">
        <f>NPV(E137,S137:AF137)</f>
        <v>1187.6445585066758</v>
      </c>
    </row>
    <row r="139" spans="1:32" s="13" customFormat="1" x14ac:dyDescent="0.25">
      <c r="A139" s="13" t="s">
        <v>113</v>
      </c>
      <c r="B139" s="13">
        <v>2029</v>
      </c>
      <c r="C139" s="13">
        <v>25</v>
      </c>
      <c r="D139" s="13">
        <f t="shared" si="46"/>
        <v>327.5</v>
      </c>
      <c r="E139" s="13">
        <v>3.5000000000000003E-2</v>
      </c>
      <c r="S139" s="13">
        <f>S69</f>
        <v>0</v>
      </c>
      <c r="T139" s="13">
        <f t="shared" si="45"/>
        <v>16.375258868131869</v>
      </c>
      <c r="U139" s="13">
        <f t="shared" si="45"/>
        <v>10.539714765175386</v>
      </c>
      <c r="V139" s="13">
        <f t="shared" si="45"/>
        <v>27.102123681879561</v>
      </c>
      <c r="W139" s="13">
        <f t="shared" si="45"/>
        <v>36.813718001219726</v>
      </c>
      <c r="X139" s="13">
        <f t="shared" si="45"/>
        <v>46.525312320559905</v>
      </c>
      <c r="Y139" s="13">
        <f t="shared" si="45"/>
        <v>117.2919686010232</v>
      </c>
      <c r="Z139" s="13">
        <f t="shared" si="45"/>
        <v>79.340714241933469</v>
      </c>
      <c r="AA139" s="13">
        <f t="shared" si="45"/>
        <v>46.441747439207454</v>
      </c>
      <c r="AB139" s="13">
        <f t="shared" si="45"/>
        <v>46.441747439207454</v>
      </c>
      <c r="AC139" s="13">
        <f t="shared" si="45"/>
        <v>46.441747439207454</v>
      </c>
      <c r="AD139" s="13">
        <f t="shared" si="45"/>
        <v>372.18367764525584</v>
      </c>
      <c r="AE139" s="13">
        <f t="shared" si="45"/>
        <v>407.44723538790265</v>
      </c>
      <c r="AF139" s="13">
        <f t="shared" si="45"/>
        <v>319.27122891601687</v>
      </c>
    </row>
    <row r="140" spans="1:32" s="13" customFormat="1" x14ac:dyDescent="0.25">
      <c r="A140" s="13" t="s">
        <v>15</v>
      </c>
      <c r="B140" s="14">
        <f>NPV(E139,S139:AF139)</f>
        <v>1072.5754502983859</v>
      </c>
    </row>
    <row r="141" spans="1:32" s="13" customFormat="1" x14ac:dyDescent="0.25">
      <c r="A141" s="13" t="s">
        <v>115</v>
      </c>
      <c r="B141" s="13">
        <v>2030</v>
      </c>
      <c r="C141" s="13">
        <v>25</v>
      </c>
      <c r="D141" s="13">
        <f t="shared" si="46"/>
        <v>400</v>
      </c>
      <c r="E141" s="13">
        <v>3.5000000000000003E-2</v>
      </c>
      <c r="S141" s="13">
        <f>S71</f>
        <v>0</v>
      </c>
      <c r="T141" s="13">
        <f t="shared" si="45"/>
        <v>20.000061637499996</v>
      </c>
      <c r="U141" s="13">
        <f t="shared" si="45"/>
        <v>12.872770234821001</v>
      </c>
      <c r="V141" s="13">
        <f t="shared" si="45"/>
        <v>33.101409175253998</v>
      </c>
      <c r="W141" s="13">
        <f t="shared" si="45"/>
        <v>44.962747463053333</v>
      </c>
      <c r="X141" s="13">
        <f t="shared" si="45"/>
        <v>56.824085750852682</v>
      </c>
      <c r="Y141" s="13">
        <f t="shared" si="45"/>
        <v>143.25554304179366</v>
      </c>
      <c r="Z141" s="13">
        <f t="shared" si="45"/>
        <v>96.903455876967868</v>
      </c>
      <c r="AA141" s="13">
        <f t="shared" si="45"/>
        <v>56.72202307256233</v>
      </c>
      <c r="AB141" s="13">
        <f t="shared" si="45"/>
        <v>56.72202307256233</v>
      </c>
      <c r="AC141" s="13">
        <f t="shared" si="45"/>
        <v>56.72202307256233</v>
      </c>
      <c r="AD141" s="13">
        <f t="shared" si="45"/>
        <v>454.56969891711657</v>
      </c>
      <c r="AE141" s="13">
        <f t="shared" si="45"/>
        <v>497.63914496923485</v>
      </c>
      <c r="AF141" s="13">
        <f t="shared" si="45"/>
        <v>389.94462981147217</v>
      </c>
    </row>
    <row r="142" spans="1:32" s="13" customFormat="1" x14ac:dyDescent="0.25">
      <c r="A142" s="13" t="s">
        <v>15</v>
      </c>
      <c r="B142" s="14">
        <f>NPV(E141,S141:AF141)</f>
        <v>1309.9991450262969</v>
      </c>
    </row>
    <row r="143" spans="1:32" s="13" customFormat="1" x14ac:dyDescent="0.25">
      <c r="A143" s="13" t="s">
        <v>118</v>
      </c>
      <c r="B143" s="13">
        <v>2031</v>
      </c>
      <c r="C143" s="13">
        <v>25</v>
      </c>
      <c r="D143" s="13">
        <f t="shared" si="46"/>
        <v>437.5</v>
      </c>
      <c r="E143" s="13">
        <v>3.5000000000000003E-2</v>
      </c>
      <c r="S143" s="13">
        <f>S73</f>
        <v>0</v>
      </c>
      <c r="T143" s="13">
        <f t="shared" ref="T143:AF151" si="47">T73</f>
        <v>21.87513586936813</v>
      </c>
      <c r="U143" s="13">
        <f t="shared" si="47"/>
        <v>14.079636503413616</v>
      </c>
      <c r="V143" s="13">
        <f t="shared" si="47"/>
        <v>36.204779580206434</v>
      </c>
      <c r="W143" s="13">
        <f t="shared" si="47"/>
        <v>49.178158929780402</v>
      </c>
      <c r="X143" s="13">
        <f t="shared" si="47"/>
        <v>62.151538279354369</v>
      </c>
      <c r="Y143" s="13">
        <f t="shared" si="47"/>
        <v>156.68624051656005</v>
      </c>
      <c r="Z143" s="13">
        <f t="shared" si="47"/>
        <v>105.98848653273267</v>
      </c>
      <c r="AA143" s="13">
        <f t="shared" si="47"/>
        <v>62.039906875648754</v>
      </c>
      <c r="AB143" s="13">
        <f t="shared" si="47"/>
        <v>62.039906875648754</v>
      </c>
      <c r="AC143" s="13">
        <f t="shared" si="47"/>
        <v>62.039906875648754</v>
      </c>
      <c r="AD143" s="13">
        <f t="shared" si="47"/>
        <v>497.18716402679331</v>
      </c>
      <c r="AE143" s="13">
        <f t="shared" si="47"/>
        <v>544.29451805824203</v>
      </c>
      <c r="AF143" s="13">
        <f t="shared" si="47"/>
        <v>426.50327350304462</v>
      </c>
    </row>
    <row r="144" spans="1:32" s="13" customFormat="1" x14ac:dyDescent="0.25">
      <c r="A144" s="13" t="s">
        <v>15</v>
      </c>
      <c r="B144" s="14">
        <f>NPV(E143,S143:AF143)</f>
        <v>1432.816048550357</v>
      </c>
    </row>
    <row r="145" spans="1:32" s="13" customFormat="1" x14ac:dyDescent="0.25">
      <c r="A145" s="13" t="s">
        <v>120</v>
      </c>
      <c r="B145" s="13">
        <v>2032</v>
      </c>
      <c r="C145" s="13">
        <v>25</v>
      </c>
      <c r="D145" s="13">
        <f t="shared" si="46"/>
        <v>343.40649999999999</v>
      </c>
      <c r="E145" s="13">
        <v>3.5000000000000003E-2</v>
      </c>
      <c r="S145" s="13">
        <f>S75</f>
        <v>0</v>
      </c>
      <c r="T145" s="13">
        <f t="shared" si="47"/>
        <v>17.170413010851647</v>
      </c>
      <c r="U145" s="13">
        <f t="shared" si="47"/>
        <v>11.051505016926694</v>
      </c>
      <c r="V145" s="13">
        <f t="shared" si="47"/>
        <v>28.418155757811491</v>
      </c>
      <c r="W145" s="13">
        <f t="shared" si="47"/>
        <v>38.601328237693934</v>
      </c>
      <c r="X145" s="13">
        <f t="shared" si="47"/>
        <v>48.784500717576385</v>
      </c>
      <c r="Y145" s="13">
        <f t="shared" si="47"/>
        <v>122.98746297408417</v>
      </c>
      <c r="Z145" s="13">
        <f t="shared" si="47"/>
        <v>83.193361587777645</v>
      </c>
      <c r="AA145" s="13">
        <f t="shared" si="47"/>
        <v>48.696878070656481</v>
      </c>
      <c r="AB145" s="13">
        <f t="shared" si="47"/>
        <v>48.696878070656481</v>
      </c>
      <c r="AC145" s="13">
        <f t="shared" si="47"/>
        <v>48.696878070656481</v>
      </c>
      <c r="AD145" s="13">
        <f t="shared" si="47"/>
        <v>390.25627091022386</v>
      </c>
      <c r="AE145" s="13">
        <f t="shared" si="47"/>
        <v>427.23216579831103</v>
      </c>
      <c r="AF145" s="13">
        <f t="shared" si="47"/>
        <v>334.77448552821403</v>
      </c>
    </row>
    <row r="146" spans="1:32" s="13" customFormat="1" x14ac:dyDescent="0.25">
      <c r="A146" s="13" t="s">
        <v>15</v>
      </c>
      <c r="B146" s="14">
        <f>NPV(E145,S145:AF145)</f>
        <v>1124.6578521432853</v>
      </c>
    </row>
    <row r="147" spans="1:32" s="13" customFormat="1" x14ac:dyDescent="0.25">
      <c r="A147" s="13" t="s">
        <v>122</v>
      </c>
      <c r="B147" s="13">
        <v>2034</v>
      </c>
      <c r="C147" s="13">
        <v>25</v>
      </c>
      <c r="D147" s="13">
        <f t="shared" si="46"/>
        <v>750</v>
      </c>
      <c r="E147" s="13">
        <v>3.5000000000000003E-2</v>
      </c>
      <c r="S147" s="13">
        <f>S77</f>
        <v>0</v>
      </c>
      <c r="T147" s="13">
        <f t="shared" si="47"/>
        <v>37.50026768887362</v>
      </c>
      <c r="U147" s="13">
        <f t="shared" si="47"/>
        <v>24.136542099351924</v>
      </c>
      <c r="V147" s="13">
        <f t="shared" si="47"/>
        <v>62.065393969762077</v>
      </c>
      <c r="W147" s="13">
        <f t="shared" si="47"/>
        <v>84.30549347559348</v>
      </c>
      <c r="X147" s="13">
        <f t="shared" si="47"/>
        <v>106.54559298142487</v>
      </c>
      <c r="Y147" s="13">
        <f t="shared" si="47"/>
        <v>268.60523279135919</v>
      </c>
      <c r="Z147" s="13">
        <f t="shared" si="47"/>
        <v>181.69471680775709</v>
      </c>
      <c r="AA147" s="13">
        <f t="shared" si="47"/>
        <v>106.35422468335148</v>
      </c>
      <c r="AB147" s="13">
        <f t="shared" si="47"/>
        <v>106.35422468335148</v>
      </c>
      <c r="AC147" s="13">
        <f t="shared" si="47"/>
        <v>106.35422468335148</v>
      </c>
      <c r="AD147" s="13">
        <f t="shared" si="47"/>
        <v>852.3216428833648</v>
      </c>
      <c r="AE147" s="13">
        <f t="shared" si="47"/>
        <v>933.07718181318512</v>
      </c>
      <c r="AF147" s="13">
        <f t="shared" si="47"/>
        <v>731.14914677817012</v>
      </c>
    </row>
    <row r="148" spans="1:32" s="13" customFormat="1" x14ac:dyDescent="0.25">
      <c r="A148" s="13" t="s">
        <v>15</v>
      </c>
      <c r="B148" s="14">
        <f>NPV(E147,S147:AF147)</f>
        <v>2456.258360652851</v>
      </c>
    </row>
    <row r="149" spans="1:32" s="13" customFormat="1" x14ac:dyDescent="0.25">
      <c r="A149" s="13" t="s">
        <v>124</v>
      </c>
      <c r="B149" s="13">
        <v>2035</v>
      </c>
      <c r="C149" s="13">
        <v>25</v>
      </c>
      <c r="D149" s="13">
        <f t="shared" si="46"/>
        <v>650</v>
      </c>
      <c r="E149" s="13">
        <v>3.5000000000000003E-2</v>
      </c>
      <c r="S149" s="13">
        <f>S79</f>
        <v>0</v>
      </c>
      <c r="T149" s="13">
        <f t="shared" si="47"/>
        <v>32.500313126923075</v>
      </c>
      <c r="U149" s="13">
        <f t="shared" si="47"/>
        <v>20.918388704271695</v>
      </c>
      <c r="V149" s="13">
        <f t="shared" si="47"/>
        <v>53.790142382412924</v>
      </c>
      <c r="W149" s="13">
        <f t="shared" si="47"/>
        <v>73.064943402777544</v>
      </c>
      <c r="X149" s="13">
        <f t="shared" si="47"/>
        <v>92.339744423142164</v>
      </c>
      <c r="Y149" s="13">
        <f t="shared" si="47"/>
        <v>232.79178286610923</v>
      </c>
      <c r="Z149" s="13">
        <f t="shared" si="47"/>
        <v>157.46914765389209</v>
      </c>
      <c r="AA149" s="13">
        <f t="shared" si="47"/>
        <v>92.173891484129754</v>
      </c>
      <c r="AB149" s="13">
        <f t="shared" si="47"/>
        <v>92.173891484129754</v>
      </c>
      <c r="AC149" s="13">
        <f t="shared" si="47"/>
        <v>92.173891484129754</v>
      </c>
      <c r="AD149" s="13">
        <f t="shared" si="47"/>
        <v>738.68060111959426</v>
      </c>
      <c r="AE149" s="13">
        <f t="shared" si="47"/>
        <v>808.66890956922441</v>
      </c>
      <c r="AF149" s="13">
        <f t="shared" si="47"/>
        <v>633.66417567796611</v>
      </c>
    </row>
    <row r="150" spans="1:32" s="13" customFormat="1" x14ac:dyDescent="0.25">
      <c r="A150" s="13" t="s">
        <v>15</v>
      </c>
      <c r="B150" s="14">
        <f>NPV(E149,S149:AF149)</f>
        <v>2128.7625598876944</v>
      </c>
    </row>
    <row r="151" spans="1:32" s="13" customFormat="1" x14ac:dyDescent="0.25">
      <c r="A151" s="13" t="s">
        <v>126</v>
      </c>
      <c r="B151" s="13" t="s">
        <v>272</v>
      </c>
      <c r="C151" s="13">
        <v>25</v>
      </c>
      <c r="D151" s="13">
        <f t="shared" si="46"/>
        <v>175</v>
      </c>
      <c r="E151" s="13">
        <v>3.5000000000000003E-2</v>
      </c>
      <c r="S151" s="13">
        <f>S81</f>
        <v>0</v>
      </c>
      <c r="T151" s="13">
        <f t="shared" si="47"/>
        <v>8.750103025686812</v>
      </c>
      <c r="U151" s="13">
        <f t="shared" si="47"/>
        <v>5.6318859322654617</v>
      </c>
      <c r="V151" s="13">
        <f t="shared" si="47"/>
        <v>14.481992397254041</v>
      </c>
      <c r="W151" s="13">
        <f t="shared" si="47"/>
        <v>19.67137300627007</v>
      </c>
      <c r="X151" s="13">
        <f t="shared" si="47"/>
        <v>24.8607536152861</v>
      </c>
      <c r="Y151" s="13">
        <f t="shared" si="47"/>
        <v>62.674844874782764</v>
      </c>
      <c r="Z151" s="13">
        <f t="shared" si="47"/>
        <v>42.395630465394618</v>
      </c>
      <c r="AA151" s="13">
        <f t="shared" si="47"/>
        <v>24.816100805394573</v>
      </c>
      <c r="AB151" s="13">
        <f t="shared" si="47"/>
        <v>24.816100805394573</v>
      </c>
      <c r="AC151" s="13">
        <f t="shared" si="47"/>
        <v>24.816100805394573</v>
      </c>
      <c r="AD151" s="13">
        <f t="shared" si="47"/>
        <v>198.87597198312412</v>
      </c>
      <c r="AE151" s="13">
        <f t="shared" si="47"/>
        <v>217.71901842197511</v>
      </c>
      <c r="AF151" s="13">
        <f t="shared" si="47"/>
        <v>170.60225848334898</v>
      </c>
    </row>
    <row r="152" spans="1:32" s="13" customFormat="1" x14ac:dyDescent="0.25">
      <c r="A152" s="13" t="s">
        <v>15</v>
      </c>
      <c r="B152" s="14">
        <f>NPV(E151,S151:AF151)</f>
        <v>573.12960781327683</v>
      </c>
    </row>
    <row r="153" spans="1:32" s="13" customFormat="1" x14ac:dyDescent="0.25"/>
    <row r="154" spans="1:32" s="13" customFormat="1" x14ac:dyDescent="0.25">
      <c r="A154" s="13" t="s">
        <v>132</v>
      </c>
      <c r="B154" s="14">
        <f>B128+B130+B132+B134+B136+B138+B140+B142+B144+B146+B148+B150+B152</f>
        <v>15942.109147999981</v>
      </c>
    </row>
    <row r="155" spans="1:32" s="13" customFormat="1" x14ac:dyDescent="0.25">
      <c r="A155" s="13" t="s">
        <v>138</v>
      </c>
      <c r="B155" s="13">
        <f>SUM(D127:D151)</f>
        <v>4867.7937499999998</v>
      </c>
    </row>
    <row r="156" spans="1:32" s="13" customFormat="1" x14ac:dyDescent="0.25">
      <c r="A156" s="13" t="s">
        <v>41</v>
      </c>
      <c r="B156" s="15">
        <f>B154-B155</f>
        <v>11074.315397999981</v>
      </c>
    </row>
    <row r="157" spans="1:32" s="13" customFormat="1" x14ac:dyDescent="0.25">
      <c r="A157" s="13" t="s">
        <v>40</v>
      </c>
      <c r="B157" s="16">
        <f>B156/B155</f>
        <v>2.2750173829776541</v>
      </c>
    </row>
    <row r="158" spans="1:32" s="13" customFormat="1" x14ac:dyDescent="0.25">
      <c r="B158" s="16"/>
    </row>
    <row r="159" spans="1:32" s="13" customFormat="1" x14ac:dyDescent="0.25">
      <c r="A159" s="13" t="s">
        <v>153</v>
      </c>
      <c r="B159" s="27">
        <f>(B50/4)+(B86/4)+(B120/4)+(B156/4)</f>
        <v>6030.7551221403592</v>
      </c>
    </row>
    <row r="160" spans="1:32" s="13" customFormat="1" x14ac:dyDescent="0.25">
      <c r="A160" s="13" t="s">
        <v>155</v>
      </c>
      <c r="B160" s="27">
        <f>(B49/2)+(B119/2)</f>
        <v>12169.484375</v>
      </c>
    </row>
    <row r="161" spans="1:8" s="13" customFormat="1" x14ac:dyDescent="0.25">
      <c r="A161" s="13" t="s">
        <v>154</v>
      </c>
      <c r="B161" s="16">
        <f>B159/B160</f>
        <v>0.49556373436243961</v>
      </c>
    </row>
    <row r="163" spans="1:8" s="18" customFormat="1" x14ac:dyDescent="0.25">
      <c r="A163" s="17" t="s">
        <v>46</v>
      </c>
    </row>
    <row r="164" spans="1:8" s="18" customFormat="1" x14ac:dyDescent="0.25"/>
    <row r="165" spans="1:8" s="18" customFormat="1" x14ac:dyDescent="0.25">
      <c r="A165" s="17"/>
      <c r="B165" s="18" t="s">
        <v>198</v>
      </c>
    </row>
    <row r="166" spans="1:8" s="18" customFormat="1" x14ac:dyDescent="0.25">
      <c r="B166" s="18">
        <v>56555</v>
      </c>
      <c r="C166" s="18" t="s">
        <v>197</v>
      </c>
    </row>
    <row r="167" spans="1:8" s="18" customFormat="1" x14ac:dyDescent="0.25"/>
    <row r="168" spans="1:8" s="18" customFormat="1" x14ac:dyDescent="0.25">
      <c r="A168" s="18" t="s">
        <v>47</v>
      </c>
      <c r="B168" s="18" t="s">
        <v>140</v>
      </c>
      <c r="C168" s="18" t="s">
        <v>276</v>
      </c>
      <c r="E168" s="18" t="s">
        <v>141</v>
      </c>
      <c r="F168" s="18" t="s">
        <v>150</v>
      </c>
      <c r="G168" s="18" t="s">
        <v>151</v>
      </c>
      <c r="H168" s="18" t="s">
        <v>152</v>
      </c>
    </row>
    <row r="169" spans="1:8" s="18" customFormat="1" x14ac:dyDescent="0.25">
      <c r="A169" s="18" t="s">
        <v>142</v>
      </c>
      <c r="B169" s="26">
        <f>F197</f>
        <v>22322.02394440203</v>
      </c>
      <c r="C169" s="20">
        <f>B169/B174</f>
        <v>0.39469585261076878</v>
      </c>
      <c r="D169" s="26"/>
      <c r="E169" s="37">
        <f>S17</f>
        <v>11873.320821878478</v>
      </c>
      <c r="G169" s="26">
        <f>B169-E169</f>
        <v>10448.703122523551</v>
      </c>
      <c r="H169" s="18">
        <f>G169/B169</f>
        <v>0.46808941467621273</v>
      </c>
    </row>
    <row r="170" spans="1:8" s="18" customFormat="1" x14ac:dyDescent="0.25">
      <c r="A170" s="18" t="s">
        <v>143</v>
      </c>
      <c r="B170" s="26">
        <f>F206</f>
        <v>2529.5307430075986</v>
      </c>
      <c r="C170" s="20">
        <f>B170/B174</f>
        <v>4.4726916152552358E-2</v>
      </c>
      <c r="E170" s="26">
        <f>B170</f>
        <v>2529.5307430075986</v>
      </c>
      <c r="F170" s="21">
        <f>E170*H170</f>
        <v>1345.4841781076864</v>
      </c>
      <c r="H170" s="18">
        <f>1-H169</f>
        <v>0.53191058532378732</v>
      </c>
    </row>
    <row r="171" spans="1:8" s="18" customFormat="1" x14ac:dyDescent="0.25">
      <c r="A171" s="18" t="s">
        <v>146</v>
      </c>
      <c r="B171" s="26">
        <f>B169+B170</f>
        <v>24851.554687409629</v>
      </c>
      <c r="C171" s="20">
        <f>B171/B174</f>
        <v>0.43942276876332115</v>
      </c>
      <c r="E171" s="26">
        <f>E169+E170</f>
        <v>14402.851564886078</v>
      </c>
    </row>
    <row r="172" spans="1:8" s="18" customFormat="1" x14ac:dyDescent="0.25">
      <c r="A172" s="18" t="s">
        <v>17</v>
      </c>
      <c r="B172" s="26">
        <f>F215</f>
        <v>5151.4397727421383</v>
      </c>
      <c r="C172" s="20">
        <f>B172/B174</f>
        <v>9.1087256170844982E-2</v>
      </c>
      <c r="E172" s="37">
        <f>F226</f>
        <v>3559.0291514333981</v>
      </c>
    </row>
    <row r="173" spans="1:8" s="18" customFormat="1" x14ac:dyDescent="0.25">
      <c r="A173" s="18" t="s">
        <v>48</v>
      </c>
      <c r="B173" s="26">
        <f>B166-B171-B172</f>
        <v>26552.005539848233</v>
      </c>
      <c r="C173" s="20">
        <f>B173/B174</f>
        <v>0.46948997506583384</v>
      </c>
      <c r="E173" s="26">
        <f>B173</f>
        <v>26552.005539848233</v>
      </c>
    </row>
    <row r="174" spans="1:8" s="18" customFormat="1" x14ac:dyDescent="0.25">
      <c r="B174" s="26">
        <f>B166</f>
        <v>56555</v>
      </c>
      <c r="E174" s="26">
        <f>E171+E172+E173</f>
        <v>44513.886256167709</v>
      </c>
    </row>
    <row r="175" spans="1:8" s="18" customFormat="1" x14ac:dyDescent="0.25">
      <c r="F175" s="26">
        <f>E169+F170+E172+E173</f>
        <v>43329.8396912678</v>
      </c>
    </row>
    <row r="176" spans="1:8" s="18" customFormat="1" x14ac:dyDescent="0.25">
      <c r="A176" s="18" t="s">
        <v>71</v>
      </c>
      <c r="B176" s="20">
        <f>(B174-E174)/B174</f>
        <v>0.21290980008544411</v>
      </c>
      <c r="F176" s="20">
        <f>(B174-F175)/B174</f>
        <v>0.23384599608756432</v>
      </c>
    </row>
    <row r="177" spans="1:19" s="18" customFormat="1" x14ac:dyDescent="0.25">
      <c r="A177" s="18" t="s">
        <v>144</v>
      </c>
      <c r="B177" s="20">
        <f>((B169+B172)-(E169+E172))/(B169+B172)</f>
        <v>0.43828160394345611</v>
      </c>
    </row>
    <row r="178" spans="1:19" s="18" customFormat="1" x14ac:dyDescent="0.25">
      <c r="A178" s="18" t="s">
        <v>156</v>
      </c>
      <c r="B178" s="21">
        <f>B174-E174</f>
        <v>12041.113743832291</v>
      </c>
    </row>
    <row r="179" spans="1:19" s="18" customFormat="1" x14ac:dyDescent="0.25"/>
    <row r="180" spans="1:19" s="18" customFormat="1" x14ac:dyDescent="0.25">
      <c r="B180" s="18" t="s">
        <v>270</v>
      </c>
      <c r="C180" s="18" t="s">
        <v>93</v>
      </c>
      <c r="D180" s="18" t="s">
        <v>94</v>
      </c>
      <c r="E180" s="18" t="s">
        <v>36</v>
      </c>
      <c r="F180" s="18" t="s">
        <v>201</v>
      </c>
      <c r="G180" s="18">
        <v>2023</v>
      </c>
      <c r="H180" s="18">
        <f>G180+1</f>
        <v>2024</v>
      </c>
      <c r="I180" s="18">
        <f t="shared" ref="I180:S180" si="48">H180+1</f>
        <v>2025</v>
      </c>
      <c r="J180" s="18">
        <f t="shared" si="48"/>
        <v>2026</v>
      </c>
      <c r="K180" s="18">
        <f t="shared" si="48"/>
        <v>2027</v>
      </c>
      <c r="L180" s="18">
        <f t="shared" si="48"/>
        <v>2028</v>
      </c>
      <c r="M180" s="18">
        <f t="shared" si="48"/>
        <v>2029</v>
      </c>
      <c r="N180" s="18">
        <f t="shared" si="48"/>
        <v>2030</v>
      </c>
      <c r="O180" s="18">
        <f t="shared" si="48"/>
        <v>2031</v>
      </c>
      <c r="P180" s="18">
        <f t="shared" si="48"/>
        <v>2032</v>
      </c>
      <c r="Q180" s="18">
        <f t="shared" si="48"/>
        <v>2033</v>
      </c>
      <c r="R180" s="18">
        <f t="shared" si="48"/>
        <v>2034</v>
      </c>
      <c r="S180" s="18">
        <f t="shared" si="48"/>
        <v>2035</v>
      </c>
    </row>
    <row r="181" spans="1:19" s="18" customFormat="1" x14ac:dyDescent="0.25">
      <c r="A181" s="18" t="s">
        <v>98</v>
      </c>
      <c r="B181" s="18">
        <v>2024</v>
      </c>
      <c r="C181" s="18">
        <v>912</v>
      </c>
      <c r="D181" s="18">
        <v>7.75</v>
      </c>
      <c r="E181" s="18">
        <v>2015</v>
      </c>
      <c r="F181" s="18">
        <v>2024</v>
      </c>
      <c r="G181" s="18">
        <f t="shared" ref="G181:G193" si="49">C181*(D181/100)</f>
        <v>70.679999999999993</v>
      </c>
      <c r="H181" s="18">
        <f>G181+C181</f>
        <v>982.68</v>
      </c>
    </row>
    <row r="182" spans="1:19" s="18" customFormat="1" x14ac:dyDescent="0.25">
      <c r="A182" s="18" t="s">
        <v>101</v>
      </c>
      <c r="B182" s="18">
        <v>2025</v>
      </c>
      <c r="C182" s="18">
        <v>1355</v>
      </c>
      <c r="D182" s="18">
        <v>7.75</v>
      </c>
      <c r="E182" s="18">
        <v>2015</v>
      </c>
      <c r="F182" s="18">
        <v>2025</v>
      </c>
      <c r="G182" s="18">
        <f t="shared" si="49"/>
        <v>105.0125</v>
      </c>
      <c r="H182" s="18">
        <f t="shared" ref="H182:M193" si="50">G182</f>
        <v>105.0125</v>
      </c>
      <c r="I182" s="18">
        <f>H182+C182</f>
        <v>1460.0125</v>
      </c>
    </row>
    <row r="183" spans="1:19" s="18" customFormat="1" x14ac:dyDescent="0.25">
      <c r="A183" s="18" t="s">
        <v>104</v>
      </c>
      <c r="B183" s="18">
        <v>2026</v>
      </c>
      <c r="C183" s="18">
        <v>750</v>
      </c>
      <c r="D183" s="18">
        <v>8.9939999999999998</v>
      </c>
      <c r="E183" s="18">
        <v>2018</v>
      </c>
      <c r="F183" s="18">
        <v>2026</v>
      </c>
      <c r="G183" s="18">
        <f t="shared" si="49"/>
        <v>67.454999999999998</v>
      </c>
      <c r="H183" s="18">
        <f t="shared" si="50"/>
        <v>67.454999999999998</v>
      </c>
      <c r="I183" s="18">
        <f t="shared" si="50"/>
        <v>67.454999999999998</v>
      </c>
      <c r="J183" s="18">
        <f>I183+C183</f>
        <v>817.45500000000004</v>
      </c>
    </row>
    <row r="184" spans="1:19" s="18" customFormat="1" x14ac:dyDescent="0.25">
      <c r="A184" s="18" t="s">
        <v>107</v>
      </c>
      <c r="B184" s="18">
        <v>2026</v>
      </c>
      <c r="C184" s="18">
        <v>1340</v>
      </c>
      <c r="D184" s="18">
        <v>7.75</v>
      </c>
      <c r="E184" s="18">
        <v>2015</v>
      </c>
      <c r="F184" s="18">
        <v>2026</v>
      </c>
      <c r="G184" s="18">
        <f t="shared" si="49"/>
        <v>103.85</v>
      </c>
      <c r="H184" s="18">
        <f t="shared" si="50"/>
        <v>103.85</v>
      </c>
      <c r="I184" s="18">
        <f t="shared" si="50"/>
        <v>103.85</v>
      </c>
      <c r="J184" s="18">
        <f>I184+C184</f>
        <v>1443.85</v>
      </c>
    </row>
    <row r="185" spans="1:19" s="18" customFormat="1" x14ac:dyDescent="0.25">
      <c r="A185" s="18" t="s">
        <v>109</v>
      </c>
      <c r="B185" s="18">
        <v>2027</v>
      </c>
      <c r="C185" s="18">
        <v>1330</v>
      </c>
      <c r="D185" s="18">
        <v>7.75</v>
      </c>
      <c r="E185" s="18">
        <v>2015</v>
      </c>
      <c r="F185" s="18">
        <v>2027</v>
      </c>
      <c r="G185" s="18">
        <f t="shared" si="49"/>
        <v>103.075</v>
      </c>
      <c r="H185" s="18">
        <f t="shared" si="50"/>
        <v>103.075</v>
      </c>
      <c r="I185" s="18">
        <f t="shared" si="50"/>
        <v>103.075</v>
      </c>
      <c r="J185" s="18">
        <f t="shared" si="50"/>
        <v>103.075</v>
      </c>
      <c r="K185" s="18">
        <f>J185+C185</f>
        <v>1433.075</v>
      </c>
    </row>
    <row r="186" spans="1:19" s="18" customFormat="1" x14ac:dyDescent="0.25">
      <c r="A186" s="18" t="s">
        <v>111</v>
      </c>
      <c r="B186" s="18">
        <v>2028</v>
      </c>
      <c r="C186" s="18">
        <v>1450.549</v>
      </c>
      <c r="D186" s="18">
        <v>7.75</v>
      </c>
      <c r="E186" s="18">
        <v>2015</v>
      </c>
      <c r="F186" s="18">
        <v>2028</v>
      </c>
      <c r="G186" s="18">
        <f t="shared" si="49"/>
        <v>112.4175475</v>
      </c>
      <c r="H186" s="18">
        <f t="shared" si="50"/>
        <v>112.4175475</v>
      </c>
      <c r="I186" s="18">
        <f t="shared" si="50"/>
        <v>112.4175475</v>
      </c>
      <c r="J186" s="18">
        <f t="shared" si="50"/>
        <v>112.4175475</v>
      </c>
      <c r="K186" s="18">
        <f t="shared" si="50"/>
        <v>112.4175475</v>
      </c>
      <c r="L186" s="18">
        <f>K186+C186</f>
        <v>1562.9665474999999</v>
      </c>
    </row>
    <row r="187" spans="1:19" s="18" customFormat="1" x14ac:dyDescent="0.25">
      <c r="A187" s="18" t="s">
        <v>113</v>
      </c>
      <c r="B187" s="18">
        <v>2029</v>
      </c>
      <c r="C187" s="18">
        <v>1310</v>
      </c>
      <c r="D187" s="18">
        <v>7.75</v>
      </c>
      <c r="E187" s="18">
        <v>2015</v>
      </c>
      <c r="F187" s="18">
        <v>2029</v>
      </c>
      <c r="G187" s="18">
        <f t="shared" si="49"/>
        <v>101.52500000000001</v>
      </c>
      <c r="H187" s="18">
        <f t="shared" si="50"/>
        <v>101.52500000000001</v>
      </c>
      <c r="I187" s="18">
        <f t="shared" si="50"/>
        <v>101.52500000000001</v>
      </c>
      <c r="J187" s="18">
        <f t="shared" si="50"/>
        <v>101.52500000000001</v>
      </c>
      <c r="K187" s="18">
        <f t="shared" si="50"/>
        <v>101.52500000000001</v>
      </c>
      <c r="L187" s="18">
        <f t="shared" si="50"/>
        <v>101.52500000000001</v>
      </c>
      <c r="M187" s="18">
        <f>L187+C187</f>
        <v>1411.5250000000001</v>
      </c>
    </row>
    <row r="188" spans="1:19" s="18" customFormat="1" x14ac:dyDescent="0.25">
      <c r="A188" s="18" t="s">
        <v>115</v>
      </c>
      <c r="B188" s="18">
        <v>2030</v>
      </c>
      <c r="C188" s="18">
        <v>1600</v>
      </c>
      <c r="D188" s="18">
        <v>9.75</v>
      </c>
      <c r="E188" s="18">
        <v>2018</v>
      </c>
      <c r="F188" s="18">
        <v>2030</v>
      </c>
      <c r="G188" s="18">
        <f t="shared" si="49"/>
        <v>156</v>
      </c>
      <c r="H188" s="18">
        <f t="shared" si="50"/>
        <v>156</v>
      </c>
      <c r="I188" s="18">
        <f t="shared" si="50"/>
        <v>156</v>
      </c>
      <c r="J188" s="18">
        <f t="shared" si="50"/>
        <v>156</v>
      </c>
      <c r="K188" s="18">
        <f t="shared" si="50"/>
        <v>156</v>
      </c>
      <c r="L188" s="18">
        <f t="shared" si="50"/>
        <v>156</v>
      </c>
      <c r="M188" s="18">
        <f t="shared" si="50"/>
        <v>156</v>
      </c>
      <c r="N188" s="18">
        <f>M188+C188</f>
        <v>1756</v>
      </c>
    </row>
    <row r="189" spans="1:19" s="18" customFormat="1" x14ac:dyDescent="0.25">
      <c r="A189" s="18" t="s">
        <v>118</v>
      </c>
      <c r="B189" s="18">
        <v>2031</v>
      </c>
      <c r="C189" s="18">
        <v>1750</v>
      </c>
      <c r="D189" s="18">
        <v>6.8760000000000003</v>
      </c>
      <c r="E189" s="18">
        <v>2021</v>
      </c>
      <c r="F189" s="18">
        <v>2031</v>
      </c>
      <c r="G189" s="18">
        <f t="shared" si="49"/>
        <v>120.33</v>
      </c>
      <c r="H189" s="18">
        <f t="shared" si="50"/>
        <v>120.33</v>
      </c>
      <c r="I189" s="18">
        <f t="shared" si="50"/>
        <v>120.33</v>
      </c>
      <c r="J189" s="18">
        <f t="shared" si="50"/>
        <v>120.33</v>
      </c>
      <c r="K189" s="18">
        <f t="shared" si="50"/>
        <v>120.33</v>
      </c>
      <c r="L189" s="18">
        <f t="shared" si="50"/>
        <v>120.33</v>
      </c>
      <c r="M189" s="18">
        <f t="shared" si="50"/>
        <v>120.33</v>
      </c>
      <c r="N189" s="18">
        <f>M189</f>
        <v>120.33</v>
      </c>
      <c r="O189" s="18">
        <f>N189+C189</f>
        <v>1870.33</v>
      </c>
    </row>
    <row r="190" spans="1:19" s="18" customFormat="1" x14ac:dyDescent="0.25">
      <c r="A190" s="18" t="s">
        <v>120</v>
      </c>
      <c r="B190" s="18">
        <v>2032</v>
      </c>
      <c r="C190" s="18">
        <v>1373.626</v>
      </c>
      <c r="D190" s="18">
        <v>4.375</v>
      </c>
      <c r="E190" s="18">
        <v>2020</v>
      </c>
      <c r="F190" s="18">
        <v>2032</v>
      </c>
      <c r="G190" s="18">
        <f t="shared" si="49"/>
        <v>60.096137499999998</v>
      </c>
      <c r="H190" s="18">
        <f t="shared" si="50"/>
        <v>60.096137499999998</v>
      </c>
      <c r="I190" s="18">
        <f t="shared" si="50"/>
        <v>60.096137499999998</v>
      </c>
      <c r="J190" s="18">
        <f t="shared" si="50"/>
        <v>60.096137499999998</v>
      </c>
      <c r="K190" s="18">
        <f t="shared" si="50"/>
        <v>60.096137499999998</v>
      </c>
      <c r="L190" s="18">
        <f t="shared" si="50"/>
        <v>60.096137499999998</v>
      </c>
      <c r="M190" s="18">
        <f t="shared" si="50"/>
        <v>60.096137499999998</v>
      </c>
      <c r="N190" s="18">
        <f>M190</f>
        <v>60.096137499999998</v>
      </c>
      <c r="O190" s="18">
        <f>N190</f>
        <v>60.096137499999998</v>
      </c>
      <c r="P190" s="18">
        <f>O190+C190</f>
        <v>1433.7221374999999</v>
      </c>
    </row>
    <row r="191" spans="1:19" s="18" customFormat="1" x14ac:dyDescent="0.25">
      <c r="A191" s="18" t="s">
        <v>122</v>
      </c>
      <c r="B191" s="18">
        <v>2034</v>
      </c>
      <c r="C191" s="18">
        <v>3000</v>
      </c>
      <c r="D191" s="18">
        <v>7.375</v>
      </c>
      <c r="E191" s="18">
        <v>2017</v>
      </c>
      <c r="F191" s="18">
        <v>2034</v>
      </c>
      <c r="G191" s="18">
        <f t="shared" si="49"/>
        <v>221.25</v>
      </c>
      <c r="H191" s="18">
        <f t="shared" si="50"/>
        <v>221.25</v>
      </c>
      <c r="I191" s="18">
        <f t="shared" si="50"/>
        <v>221.25</v>
      </c>
      <c r="J191" s="18">
        <f t="shared" si="50"/>
        <v>221.25</v>
      </c>
      <c r="K191" s="18">
        <f t="shared" si="50"/>
        <v>221.25</v>
      </c>
      <c r="L191" s="18">
        <f t="shared" si="50"/>
        <v>221.25</v>
      </c>
      <c r="M191" s="18">
        <f t="shared" si="50"/>
        <v>221.25</v>
      </c>
      <c r="N191" s="18">
        <f>M191</f>
        <v>221.25</v>
      </c>
      <c r="O191" s="18">
        <f>N191</f>
        <v>221.25</v>
      </c>
      <c r="P191" s="18">
        <f>O191</f>
        <v>221.25</v>
      </c>
      <c r="Q191" s="18">
        <f>P191</f>
        <v>221.25</v>
      </c>
      <c r="R191" s="18">
        <f>Q191+C191</f>
        <v>3221.25</v>
      </c>
    </row>
    <row r="192" spans="1:19" s="18" customFormat="1" x14ac:dyDescent="0.25">
      <c r="A192" s="18" t="s">
        <v>124</v>
      </c>
      <c r="B192" s="18">
        <v>2035</v>
      </c>
      <c r="C192" s="18">
        <v>2600</v>
      </c>
      <c r="D192" s="18">
        <v>7.2530000000000001</v>
      </c>
      <c r="E192" s="18">
        <v>2020</v>
      </c>
      <c r="F192" s="18">
        <v>2035</v>
      </c>
      <c r="G192" s="18">
        <f t="shared" si="49"/>
        <v>188.578</v>
      </c>
      <c r="H192" s="18">
        <f t="shared" si="50"/>
        <v>188.578</v>
      </c>
      <c r="I192" s="18">
        <f t="shared" si="50"/>
        <v>188.578</v>
      </c>
      <c r="J192" s="18">
        <f t="shared" si="50"/>
        <v>188.578</v>
      </c>
      <c r="K192" s="18">
        <f t="shared" si="50"/>
        <v>188.578</v>
      </c>
      <c r="L192" s="18">
        <f t="shared" si="50"/>
        <v>188.578</v>
      </c>
      <c r="M192" s="18">
        <f t="shared" si="50"/>
        <v>188.578</v>
      </c>
      <c r="N192" s="18">
        <f>M192</f>
        <v>188.578</v>
      </c>
      <c r="O192" s="18">
        <f>N192</f>
        <v>188.578</v>
      </c>
      <c r="P192" s="18">
        <f>O192</f>
        <v>188.578</v>
      </c>
      <c r="Q192" s="18">
        <f>P192</f>
        <v>188.578</v>
      </c>
      <c r="R192" s="18">
        <f>Q192</f>
        <v>188.578</v>
      </c>
      <c r="S192" s="18">
        <f>R192+C192</f>
        <v>2788.578</v>
      </c>
    </row>
    <row r="193" spans="1:22" s="18" customFormat="1" x14ac:dyDescent="0.25">
      <c r="A193" s="18" t="s">
        <v>126</v>
      </c>
      <c r="B193" s="18" t="s">
        <v>272</v>
      </c>
      <c r="C193" s="18">
        <v>700</v>
      </c>
      <c r="D193" s="18">
        <v>6.25</v>
      </c>
      <c r="E193" s="18">
        <v>2021</v>
      </c>
      <c r="F193" s="18">
        <v>2030</v>
      </c>
      <c r="G193" s="18">
        <f t="shared" si="49"/>
        <v>43.75</v>
      </c>
      <c r="H193" s="18">
        <f t="shared" si="50"/>
        <v>43.75</v>
      </c>
      <c r="I193" s="18">
        <f t="shared" si="50"/>
        <v>43.75</v>
      </c>
      <c r="J193" s="18">
        <f t="shared" si="50"/>
        <v>43.75</v>
      </c>
      <c r="K193" s="18">
        <f t="shared" si="50"/>
        <v>43.75</v>
      </c>
      <c r="L193" s="18">
        <f t="shared" si="50"/>
        <v>43.75</v>
      </c>
      <c r="M193" s="18">
        <f t="shared" si="50"/>
        <v>43.75</v>
      </c>
      <c r="N193" s="18">
        <f>M193+C193</f>
        <v>743.75</v>
      </c>
    </row>
    <row r="194" spans="1:22" s="18" customFormat="1" x14ac:dyDescent="0.25"/>
    <row r="195" spans="1:22" s="18" customFormat="1" x14ac:dyDescent="0.25">
      <c r="D195" s="18" t="s">
        <v>14</v>
      </c>
      <c r="E195" s="18">
        <v>0.05</v>
      </c>
      <c r="F195" s="18" t="s">
        <v>13</v>
      </c>
      <c r="G195" s="18">
        <f>SUM(G181:G193)</f>
        <v>1454.0191849999999</v>
      </c>
      <c r="H195" s="18">
        <f t="shared" ref="H195:S195" si="51">SUM(H181:H193)</f>
        <v>2366.0191849999997</v>
      </c>
      <c r="I195" s="18">
        <f t="shared" si="51"/>
        <v>2738.3391849999998</v>
      </c>
      <c r="J195" s="18">
        <f t="shared" si="51"/>
        <v>3368.326685</v>
      </c>
      <c r="K195" s="18">
        <f t="shared" si="51"/>
        <v>2437.0216850000002</v>
      </c>
      <c r="L195" s="18">
        <f t="shared" si="51"/>
        <v>2454.4956849999999</v>
      </c>
      <c r="M195" s="18">
        <f t="shared" si="51"/>
        <v>2201.5291375000002</v>
      </c>
      <c r="N195" s="18">
        <f t="shared" si="51"/>
        <v>3090.0041374999996</v>
      </c>
      <c r="O195" s="18">
        <f t="shared" si="51"/>
        <v>2340.2541374999996</v>
      </c>
      <c r="P195" s="18">
        <f t="shared" si="51"/>
        <v>1843.5501374999999</v>
      </c>
      <c r="Q195" s="18">
        <f t="shared" si="51"/>
        <v>409.82799999999997</v>
      </c>
      <c r="R195" s="18">
        <f t="shared" si="51"/>
        <v>3409.828</v>
      </c>
      <c r="S195" s="18">
        <f t="shared" si="51"/>
        <v>2788.578</v>
      </c>
    </row>
    <row r="196" spans="1:22" s="18" customFormat="1" x14ac:dyDescent="0.25"/>
    <row r="197" spans="1:22" s="18" customFormat="1" x14ac:dyDescent="0.25">
      <c r="E197" s="18" t="s">
        <v>15</v>
      </c>
      <c r="F197" s="37">
        <f>NPV(E195,G195:S195)</f>
        <v>22322.02394440203</v>
      </c>
    </row>
    <row r="198" spans="1:22" s="18" customFormat="1" x14ac:dyDescent="0.25"/>
    <row r="199" spans="1:22" s="18" customFormat="1" x14ac:dyDescent="0.25">
      <c r="B199" s="18" t="s">
        <v>202</v>
      </c>
      <c r="C199" s="18" t="s">
        <v>203</v>
      </c>
      <c r="F199" s="18">
        <v>2022</v>
      </c>
      <c r="G199" s="18">
        <f>F199+1</f>
        <v>2023</v>
      </c>
      <c r="H199" s="18">
        <f t="shared" ref="H199:P199" si="52">G199+1</f>
        <v>2024</v>
      </c>
      <c r="I199" s="18">
        <f t="shared" si="52"/>
        <v>2025</v>
      </c>
      <c r="J199" s="18">
        <f t="shared" si="52"/>
        <v>2026</v>
      </c>
      <c r="K199" s="18">
        <f t="shared" si="52"/>
        <v>2027</v>
      </c>
      <c r="L199" s="18">
        <f t="shared" si="52"/>
        <v>2028</v>
      </c>
      <c r="M199" s="18">
        <f t="shared" si="52"/>
        <v>2029</v>
      </c>
      <c r="N199" s="18">
        <f t="shared" si="52"/>
        <v>2030</v>
      </c>
      <c r="O199" s="18">
        <f t="shared" si="52"/>
        <v>2031</v>
      </c>
      <c r="P199" s="18">
        <f t="shared" si="52"/>
        <v>2032</v>
      </c>
    </row>
    <row r="200" spans="1:22" s="18" customFormat="1" x14ac:dyDescent="0.25">
      <c r="A200" s="18" t="s">
        <v>204</v>
      </c>
      <c r="B200" s="18">
        <v>2490</v>
      </c>
      <c r="C200" s="38">
        <v>5.2999999999999999E-2</v>
      </c>
      <c r="E200" s="18" t="s">
        <v>69</v>
      </c>
      <c r="F200" s="18">
        <f>B200</f>
        <v>2490</v>
      </c>
      <c r="G200" s="18">
        <f>F200-F201</f>
        <v>2490</v>
      </c>
      <c r="H200" s="18">
        <f t="shared" ref="H200:P200" si="53">G200-H201</f>
        <v>2241</v>
      </c>
      <c r="I200" s="18">
        <f t="shared" si="53"/>
        <v>1992</v>
      </c>
      <c r="J200" s="18">
        <f t="shared" si="53"/>
        <v>1743</v>
      </c>
      <c r="K200" s="18">
        <f t="shared" si="53"/>
        <v>1494</v>
      </c>
      <c r="L200" s="18">
        <f t="shared" si="53"/>
        <v>1245</v>
      </c>
      <c r="M200" s="18">
        <f t="shared" si="53"/>
        <v>996</v>
      </c>
      <c r="N200" s="18">
        <f t="shared" si="53"/>
        <v>747</v>
      </c>
      <c r="O200" s="18">
        <f t="shared" si="53"/>
        <v>498</v>
      </c>
      <c r="P200" s="18">
        <f t="shared" si="53"/>
        <v>249</v>
      </c>
    </row>
    <row r="201" spans="1:22" s="18" customFormat="1" x14ac:dyDescent="0.25">
      <c r="E201" s="18" t="s">
        <v>29</v>
      </c>
      <c r="F201" s="18">
        <v>0</v>
      </c>
      <c r="G201" s="18">
        <f>F200/10</f>
        <v>249</v>
      </c>
      <c r="H201" s="18">
        <f>G201</f>
        <v>249</v>
      </c>
      <c r="I201" s="18">
        <f t="shared" ref="I201:P201" si="54">H201</f>
        <v>249</v>
      </c>
      <c r="J201" s="18">
        <f t="shared" si="54"/>
        <v>249</v>
      </c>
      <c r="K201" s="18">
        <f t="shared" si="54"/>
        <v>249</v>
      </c>
      <c r="L201" s="18">
        <f t="shared" si="54"/>
        <v>249</v>
      </c>
      <c r="M201" s="18">
        <f t="shared" si="54"/>
        <v>249</v>
      </c>
      <c r="N201" s="18">
        <f t="shared" si="54"/>
        <v>249</v>
      </c>
      <c r="O201" s="18">
        <f t="shared" si="54"/>
        <v>249</v>
      </c>
      <c r="P201" s="18">
        <f t="shared" si="54"/>
        <v>249</v>
      </c>
    </row>
    <row r="202" spans="1:22" s="18" customFormat="1" x14ac:dyDescent="0.25">
      <c r="E202" s="18" t="s">
        <v>70</v>
      </c>
      <c r="F202" s="18">
        <f>F200*0.053</f>
        <v>131.97</v>
      </c>
      <c r="G202" s="18">
        <f t="shared" ref="G202:P202" si="55">G200*0.053</f>
        <v>131.97</v>
      </c>
      <c r="H202" s="18">
        <f t="shared" si="55"/>
        <v>118.773</v>
      </c>
      <c r="I202" s="18">
        <f t="shared" si="55"/>
        <v>105.57599999999999</v>
      </c>
      <c r="J202" s="18">
        <f t="shared" si="55"/>
        <v>92.378999999999991</v>
      </c>
      <c r="K202" s="18">
        <f t="shared" si="55"/>
        <v>79.182000000000002</v>
      </c>
      <c r="L202" s="18">
        <f t="shared" si="55"/>
        <v>65.984999999999999</v>
      </c>
      <c r="M202" s="18">
        <f t="shared" si="55"/>
        <v>52.787999999999997</v>
      </c>
      <c r="N202" s="18">
        <f t="shared" si="55"/>
        <v>39.591000000000001</v>
      </c>
      <c r="O202" s="18">
        <f t="shared" si="55"/>
        <v>26.393999999999998</v>
      </c>
      <c r="P202" s="18">
        <f t="shared" si="55"/>
        <v>13.196999999999999</v>
      </c>
    </row>
    <row r="203" spans="1:22" s="18" customFormat="1" x14ac:dyDescent="0.25"/>
    <row r="204" spans="1:22" s="18" customFormat="1" x14ac:dyDescent="0.25">
      <c r="B204" s="18" t="s">
        <v>14</v>
      </c>
      <c r="C204" s="18">
        <v>0.05</v>
      </c>
      <c r="E204" s="18" t="s">
        <v>13</v>
      </c>
      <c r="F204" s="18">
        <f>F201+F202</f>
        <v>131.97</v>
      </c>
      <c r="G204" s="18">
        <f t="shared" ref="G204:P204" si="56">G201+G202</f>
        <v>380.97</v>
      </c>
      <c r="H204" s="18">
        <f t="shared" si="56"/>
        <v>367.77300000000002</v>
      </c>
      <c r="I204" s="18">
        <f t="shared" si="56"/>
        <v>354.57600000000002</v>
      </c>
      <c r="J204" s="18">
        <f t="shared" si="56"/>
        <v>341.37900000000002</v>
      </c>
      <c r="K204" s="18">
        <f t="shared" si="56"/>
        <v>328.18200000000002</v>
      </c>
      <c r="L204" s="18">
        <f t="shared" si="56"/>
        <v>314.98500000000001</v>
      </c>
      <c r="M204" s="18">
        <f t="shared" si="56"/>
        <v>301.78800000000001</v>
      </c>
      <c r="N204" s="18">
        <f t="shared" si="56"/>
        <v>288.59100000000001</v>
      </c>
      <c r="O204" s="18">
        <f t="shared" si="56"/>
        <v>275.39400000000001</v>
      </c>
      <c r="P204" s="18">
        <f t="shared" si="56"/>
        <v>262.197</v>
      </c>
    </row>
    <row r="205" spans="1:22" s="18" customFormat="1" x14ac:dyDescent="0.25"/>
    <row r="206" spans="1:22" s="18" customFormat="1" x14ac:dyDescent="0.25">
      <c r="E206" s="18" t="s">
        <v>15</v>
      </c>
      <c r="F206" s="37">
        <f>NPV(C204,F204:P204)</f>
        <v>2529.5307430075986</v>
      </c>
    </row>
    <row r="207" spans="1:22" s="18" customFormat="1" x14ac:dyDescent="0.25"/>
    <row r="208" spans="1:22" s="18" customFormat="1" x14ac:dyDescent="0.25">
      <c r="A208" s="18" t="s">
        <v>17</v>
      </c>
      <c r="B208" s="18">
        <v>5906</v>
      </c>
      <c r="C208" s="18">
        <v>2.7E-2</v>
      </c>
      <c r="F208" s="18">
        <v>2022</v>
      </c>
      <c r="G208" s="18">
        <f>F208+1</f>
        <v>2023</v>
      </c>
      <c r="H208" s="18">
        <f t="shared" ref="H208:P208" si="57">G208+1</f>
        <v>2024</v>
      </c>
      <c r="I208" s="18">
        <f t="shared" si="57"/>
        <v>2025</v>
      </c>
      <c r="J208" s="18">
        <f t="shared" si="57"/>
        <v>2026</v>
      </c>
      <c r="K208" s="18">
        <f t="shared" si="57"/>
        <v>2027</v>
      </c>
      <c r="L208" s="18">
        <f t="shared" si="57"/>
        <v>2028</v>
      </c>
      <c r="M208" s="18">
        <f t="shared" si="57"/>
        <v>2029</v>
      </c>
      <c r="N208" s="18">
        <f t="shared" si="57"/>
        <v>2030</v>
      </c>
      <c r="O208" s="18">
        <f t="shared" si="57"/>
        <v>2031</v>
      </c>
      <c r="P208" s="18">
        <f t="shared" si="57"/>
        <v>2032</v>
      </c>
      <c r="Q208" s="18">
        <f>P208+1</f>
        <v>2033</v>
      </c>
      <c r="R208" s="18">
        <f t="shared" ref="R208:V208" si="58">Q208+1</f>
        <v>2034</v>
      </c>
      <c r="S208" s="18">
        <f t="shared" si="58"/>
        <v>2035</v>
      </c>
      <c r="T208" s="18">
        <f t="shared" si="58"/>
        <v>2036</v>
      </c>
      <c r="U208" s="18">
        <f t="shared" si="58"/>
        <v>2037</v>
      </c>
      <c r="V208" s="18">
        <f t="shared" si="58"/>
        <v>2038</v>
      </c>
    </row>
    <row r="209" spans="1:26" s="18" customFormat="1" x14ac:dyDescent="0.25">
      <c r="E209" s="18" t="s">
        <v>69</v>
      </c>
      <c r="F209" s="18">
        <f>B208</f>
        <v>5906</v>
      </c>
      <c r="G209" s="18">
        <f>F209-F210</f>
        <v>5906</v>
      </c>
      <c r="H209" s="18">
        <f t="shared" ref="H209:U209" si="59">G209-H210</f>
        <v>5512.2666666666664</v>
      </c>
      <c r="I209" s="18">
        <f t="shared" si="59"/>
        <v>5118.5333333333328</v>
      </c>
      <c r="J209" s="18">
        <f t="shared" si="59"/>
        <v>4724.7999999999993</v>
      </c>
      <c r="K209" s="18">
        <f t="shared" si="59"/>
        <v>4331.0666666666657</v>
      </c>
      <c r="L209" s="18">
        <f t="shared" si="59"/>
        <v>3937.3333333333321</v>
      </c>
      <c r="M209" s="18">
        <f t="shared" si="59"/>
        <v>3543.5999999999985</v>
      </c>
      <c r="N209" s="18">
        <f t="shared" si="59"/>
        <v>3149.866666666665</v>
      </c>
      <c r="O209" s="18">
        <f t="shared" si="59"/>
        <v>2756.1333333333314</v>
      </c>
      <c r="P209" s="18">
        <f t="shared" si="59"/>
        <v>2362.3999999999978</v>
      </c>
      <c r="Q209" s="18">
        <f t="shared" si="59"/>
        <v>1968.6666666666645</v>
      </c>
      <c r="R209" s="18">
        <f t="shared" si="59"/>
        <v>1574.9333333333311</v>
      </c>
      <c r="S209" s="18">
        <f t="shared" si="59"/>
        <v>1181.1999999999978</v>
      </c>
      <c r="T209" s="18">
        <f t="shared" si="59"/>
        <v>787.46666666666442</v>
      </c>
      <c r="U209" s="18">
        <f t="shared" si="59"/>
        <v>393.73333333333107</v>
      </c>
      <c r="V209" s="18">
        <v>0</v>
      </c>
    </row>
    <row r="210" spans="1:26" s="18" customFormat="1" x14ac:dyDescent="0.25">
      <c r="E210" s="18" t="s">
        <v>29</v>
      </c>
      <c r="F210" s="18">
        <v>0</v>
      </c>
      <c r="G210" s="18">
        <f>F209/15</f>
        <v>393.73333333333335</v>
      </c>
      <c r="H210" s="18">
        <f>G210</f>
        <v>393.73333333333335</v>
      </c>
      <c r="I210" s="18">
        <f t="shared" ref="I210:V210" si="60">H210</f>
        <v>393.73333333333335</v>
      </c>
      <c r="J210" s="18">
        <f t="shared" si="60"/>
        <v>393.73333333333335</v>
      </c>
      <c r="K210" s="18">
        <f t="shared" si="60"/>
        <v>393.73333333333335</v>
      </c>
      <c r="L210" s="18">
        <f t="shared" si="60"/>
        <v>393.73333333333335</v>
      </c>
      <c r="M210" s="18">
        <f t="shared" si="60"/>
        <v>393.73333333333335</v>
      </c>
      <c r="N210" s="18">
        <f t="shared" si="60"/>
        <v>393.73333333333335</v>
      </c>
      <c r="O210" s="18">
        <f t="shared" si="60"/>
        <v>393.73333333333335</v>
      </c>
      <c r="P210" s="18">
        <f t="shared" si="60"/>
        <v>393.73333333333335</v>
      </c>
      <c r="Q210" s="18">
        <f t="shared" si="60"/>
        <v>393.73333333333335</v>
      </c>
      <c r="R210" s="18">
        <f t="shared" si="60"/>
        <v>393.73333333333335</v>
      </c>
      <c r="S210" s="18">
        <f t="shared" si="60"/>
        <v>393.73333333333335</v>
      </c>
      <c r="T210" s="18">
        <f t="shared" si="60"/>
        <v>393.73333333333335</v>
      </c>
      <c r="U210" s="18">
        <f t="shared" si="60"/>
        <v>393.73333333333335</v>
      </c>
      <c r="V210" s="18">
        <f t="shared" si="60"/>
        <v>393.73333333333335</v>
      </c>
    </row>
    <row r="211" spans="1:26" s="18" customFormat="1" x14ac:dyDescent="0.25">
      <c r="E211" s="18" t="s">
        <v>70</v>
      </c>
      <c r="F211" s="18">
        <f>F209*0.027</f>
        <v>159.46199999999999</v>
      </c>
      <c r="G211" s="18">
        <f t="shared" ref="G211:V211" si="61">G209*0.027</f>
        <v>159.46199999999999</v>
      </c>
      <c r="H211" s="18">
        <f t="shared" si="61"/>
        <v>148.8312</v>
      </c>
      <c r="I211" s="18">
        <f t="shared" si="61"/>
        <v>138.20039999999997</v>
      </c>
      <c r="J211" s="18">
        <f t="shared" si="61"/>
        <v>127.56959999999998</v>
      </c>
      <c r="K211" s="18">
        <f t="shared" si="61"/>
        <v>116.93879999999997</v>
      </c>
      <c r="L211" s="18">
        <f t="shared" si="61"/>
        <v>106.30799999999996</v>
      </c>
      <c r="M211" s="18">
        <f t="shared" si="61"/>
        <v>95.677199999999957</v>
      </c>
      <c r="N211" s="18">
        <f t="shared" si="61"/>
        <v>85.046399999999949</v>
      </c>
      <c r="O211" s="18">
        <f t="shared" si="61"/>
        <v>74.415599999999941</v>
      </c>
      <c r="P211" s="18">
        <f t="shared" si="61"/>
        <v>63.78479999999994</v>
      </c>
      <c r="Q211" s="18">
        <f t="shared" si="61"/>
        <v>53.15399999999994</v>
      </c>
      <c r="R211" s="18">
        <f t="shared" si="61"/>
        <v>42.523199999999939</v>
      </c>
      <c r="S211" s="18">
        <f t="shared" si="61"/>
        <v>31.892399999999938</v>
      </c>
      <c r="T211" s="18">
        <f t="shared" si="61"/>
        <v>21.261599999999937</v>
      </c>
      <c r="U211" s="18">
        <f t="shared" si="61"/>
        <v>10.630799999999939</v>
      </c>
      <c r="V211" s="18">
        <f t="shared" si="61"/>
        <v>0</v>
      </c>
    </row>
    <row r="212" spans="1:26" s="18" customFormat="1" x14ac:dyDescent="0.25"/>
    <row r="213" spans="1:26" s="18" customFormat="1" x14ac:dyDescent="0.25">
      <c r="E213" s="18" t="s">
        <v>13</v>
      </c>
      <c r="F213" s="18">
        <f>F210+F211</f>
        <v>159.46199999999999</v>
      </c>
      <c r="G213" s="18">
        <f t="shared" ref="G213:V213" si="62">G210+G211</f>
        <v>553.19533333333334</v>
      </c>
      <c r="H213" s="18">
        <f t="shared" si="62"/>
        <v>542.56453333333332</v>
      </c>
      <c r="I213" s="18">
        <f t="shared" si="62"/>
        <v>531.93373333333329</v>
      </c>
      <c r="J213" s="18">
        <f t="shared" si="62"/>
        <v>521.30293333333339</v>
      </c>
      <c r="K213" s="18">
        <f t="shared" si="62"/>
        <v>510.67213333333331</v>
      </c>
      <c r="L213" s="18">
        <f t="shared" si="62"/>
        <v>500.04133333333334</v>
      </c>
      <c r="M213" s="18">
        <f t="shared" si="62"/>
        <v>489.41053333333332</v>
      </c>
      <c r="N213" s="18">
        <f t="shared" si="62"/>
        <v>478.7797333333333</v>
      </c>
      <c r="O213" s="18">
        <f t="shared" si="62"/>
        <v>468.14893333333328</v>
      </c>
      <c r="P213" s="18">
        <f t="shared" si="62"/>
        <v>457.51813333333331</v>
      </c>
      <c r="Q213" s="18">
        <f t="shared" si="62"/>
        <v>446.88733333333329</v>
      </c>
      <c r="R213" s="18">
        <f t="shared" si="62"/>
        <v>436.25653333333327</v>
      </c>
      <c r="S213" s="18">
        <f t="shared" si="62"/>
        <v>425.6257333333333</v>
      </c>
      <c r="T213" s="18">
        <f t="shared" si="62"/>
        <v>414.99493333333328</v>
      </c>
      <c r="U213" s="18">
        <f t="shared" si="62"/>
        <v>404.36413333333331</v>
      </c>
      <c r="V213" s="18">
        <f t="shared" si="62"/>
        <v>393.73333333333335</v>
      </c>
    </row>
    <row r="214" spans="1:26" s="18" customFormat="1" x14ac:dyDescent="0.25"/>
    <row r="215" spans="1:26" s="18" customFormat="1" x14ac:dyDescent="0.25">
      <c r="E215" s="18" t="s">
        <v>15</v>
      </c>
      <c r="F215" s="37">
        <f>NPV(C204,F213:V213)</f>
        <v>5151.4397727421383</v>
      </c>
    </row>
    <row r="216" spans="1:26" s="18" customFormat="1" x14ac:dyDescent="0.25"/>
    <row r="217" spans="1:26" s="18" customFormat="1" x14ac:dyDescent="0.25">
      <c r="A217" s="18" t="s">
        <v>277</v>
      </c>
    </row>
    <row r="218" spans="1:26" s="18" customFormat="1" x14ac:dyDescent="0.25"/>
    <row r="219" spans="1:26" s="18" customFormat="1" x14ac:dyDescent="0.25">
      <c r="B219" s="18">
        <v>5906</v>
      </c>
      <c r="C219" s="18">
        <v>2.7E-2</v>
      </c>
      <c r="F219" s="18">
        <v>2022</v>
      </c>
      <c r="G219" s="18">
        <f>F219+1</f>
        <v>2023</v>
      </c>
      <c r="H219" s="18">
        <f t="shared" ref="H219:P219" si="63">G219+1</f>
        <v>2024</v>
      </c>
      <c r="I219" s="18">
        <f t="shared" si="63"/>
        <v>2025</v>
      </c>
      <c r="J219" s="18">
        <f t="shared" si="63"/>
        <v>2026</v>
      </c>
      <c r="K219" s="18">
        <f t="shared" si="63"/>
        <v>2027</v>
      </c>
      <c r="L219" s="18">
        <f t="shared" si="63"/>
        <v>2028</v>
      </c>
      <c r="M219" s="18">
        <f t="shared" si="63"/>
        <v>2029</v>
      </c>
      <c r="N219" s="18">
        <f t="shared" si="63"/>
        <v>2030</v>
      </c>
      <c r="O219" s="18">
        <f t="shared" si="63"/>
        <v>2031</v>
      </c>
      <c r="P219" s="18">
        <f t="shared" si="63"/>
        <v>2032</v>
      </c>
      <c r="Q219" s="18">
        <f>P219+1</f>
        <v>2033</v>
      </c>
      <c r="R219" s="18">
        <f t="shared" ref="R219:V219" si="64">Q219+1</f>
        <v>2034</v>
      </c>
      <c r="S219" s="18">
        <f t="shared" si="64"/>
        <v>2035</v>
      </c>
      <c r="T219" s="18">
        <f t="shared" si="64"/>
        <v>2036</v>
      </c>
      <c r="U219" s="18">
        <f t="shared" si="64"/>
        <v>2037</v>
      </c>
      <c r="V219" s="18">
        <f t="shared" si="64"/>
        <v>2038</v>
      </c>
      <c r="W219" s="18">
        <f>V219+1</f>
        <v>2039</v>
      </c>
      <c r="X219" s="18">
        <f t="shared" ref="X219:Z219" si="65">W219+1</f>
        <v>2040</v>
      </c>
      <c r="Y219" s="18">
        <f t="shared" si="65"/>
        <v>2041</v>
      </c>
      <c r="Z219" s="18">
        <f t="shared" si="65"/>
        <v>2042</v>
      </c>
    </row>
    <row r="220" spans="1:26" s="18" customFormat="1" x14ac:dyDescent="0.25">
      <c r="E220" s="18" t="s">
        <v>69</v>
      </c>
      <c r="F220" s="18">
        <f>B219</f>
        <v>5906</v>
      </c>
      <c r="G220" s="18">
        <f>F220-F221</f>
        <v>5906</v>
      </c>
      <c r="H220" s="18">
        <f t="shared" ref="H220:Y220" si="66">G220-H221</f>
        <v>5906</v>
      </c>
      <c r="I220" s="18">
        <f t="shared" si="66"/>
        <v>5906</v>
      </c>
      <c r="J220" s="18">
        <f t="shared" si="66"/>
        <v>5906</v>
      </c>
      <c r="K220" s="18">
        <f t="shared" si="66"/>
        <v>5906</v>
      </c>
      <c r="L220" s="18">
        <f t="shared" si="66"/>
        <v>5512.2666666666664</v>
      </c>
      <c r="M220" s="18">
        <f t="shared" si="66"/>
        <v>5118.5333333333328</v>
      </c>
      <c r="N220" s="18">
        <f t="shared" si="66"/>
        <v>4724.7999999999993</v>
      </c>
      <c r="O220" s="18">
        <f t="shared" si="66"/>
        <v>4331.0666666666657</v>
      </c>
      <c r="P220" s="18">
        <f t="shared" si="66"/>
        <v>3937.3333333333321</v>
      </c>
      <c r="Q220" s="18">
        <f t="shared" si="66"/>
        <v>3543.5999999999985</v>
      </c>
      <c r="R220" s="18">
        <f t="shared" si="66"/>
        <v>3149.866666666665</v>
      </c>
      <c r="S220" s="18">
        <f t="shared" si="66"/>
        <v>2756.1333333333314</v>
      </c>
      <c r="T220" s="18">
        <f t="shared" si="66"/>
        <v>2362.3999999999978</v>
      </c>
      <c r="U220" s="18">
        <f t="shared" si="66"/>
        <v>1968.6666666666645</v>
      </c>
      <c r="V220" s="18">
        <f t="shared" si="66"/>
        <v>1574.9333333333311</v>
      </c>
      <c r="W220" s="18">
        <f t="shared" si="66"/>
        <v>1181.1999999999978</v>
      </c>
      <c r="X220" s="18">
        <f t="shared" si="66"/>
        <v>787.46666666666442</v>
      </c>
      <c r="Y220" s="18">
        <f t="shared" si="66"/>
        <v>393.73333333333107</v>
      </c>
      <c r="Z220" s="18">
        <v>0</v>
      </c>
    </row>
    <row r="221" spans="1:26" s="18" customFormat="1" x14ac:dyDescent="0.25">
      <c r="E221" s="18" t="s">
        <v>29</v>
      </c>
      <c r="F221" s="18">
        <v>0</v>
      </c>
      <c r="G221" s="18">
        <v>0</v>
      </c>
      <c r="H221" s="18">
        <v>0</v>
      </c>
      <c r="I221" s="18">
        <f t="shared" ref="I221:K221" si="67">H221</f>
        <v>0</v>
      </c>
      <c r="J221" s="18">
        <f t="shared" si="67"/>
        <v>0</v>
      </c>
      <c r="K221" s="18">
        <f t="shared" si="67"/>
        <v>0</v>
      </c>
      <c r="L221" s="18">
        <f>B219/15</f>
        <v>393.73333333333335</v>
      </c>
      <c r="M221" s="18">
        <f t="shared" ref="M221:Y221" si="68">L221</f>
        <v>393.73333333333335</v>
      </c>
      <c r="N221" s="18">
        <f t="shared" si="68"/>
        <v>393.73333333333335</v>
      </c>
      <c r="O221" s="18">
        <f t="shared" si="68"/>
        <v>393.73333333333335</v>
      </c>
      <c r="P221" s="18">
        <f t="shared" si="68"/>
        <v>393.73333333333335</v>
      </c>
      <c r="Q221" s="18">
        <f t="shared" si="68"/>
        <v>393.73333333333335</v>
      </c>
      <c r="R221" s="18">
        <f t="shared" si="68"/>
        <v>393.73333333333335</v>
      </c>
      <c r="S221" s="18">
        <f t="shared" si="68"/>
        <v>393.73333333333335</v>
      </c>
      <c r="T221" s="18">
        <f t="shared" si="68"/>
        <v>393.73333333333335</v>
      </c>
      <c r="U221" s="18">
        <f t="shared" si="68"/>
        <v>393.73333333333335</v>
      </c>
      <c r="V221" s="18">
        <f t="shared" si="68"/>
        <v>393.73333333333335</v>
      </c>
      <c r="W221" s="18">
        <f t="shared" si="68"/>
        <v>393.73333333333335</v>
      </c>
      <c r="X221" s="18">
        <f t="shared" si="68"/>
        <v>393.73333333333335</v>
      </c>
      <c r="Y221" s="18">
        <f t="shared" si="68"/>
        <v>393.73333333333335</v>
      </c>
      <c r="Z221" s="18">
        <v>0</v>
      </c>
    </row>
    <row r="222" spans="1:26" s="18" customFormat="1" x14ac:dyDescent="0.25">
      <c r="E222" s="18" t="s">
        <v>70</v>
      </c>
      <c r="F222" s="18">
        <v>0</v>
      </c>
      <c r="G222" s="18">
        <v>0</v>
      </c>
      <c r="H222" s="18">
        <v>0</v>
      </c>
      <c r="I222" s="18">
        <v>0</v>
      </c>
      <c r="J222" s="18">
        <v>0</v>
      </c>
      <c r="K222" s="18">
        <v>0</v>
      </c>
      <c r="L222" s="18">
        <f t="shared" ref="L222:Y222" si="69">L220*0.027</f>
        <v>148.8312</v>
      </c>
      <c r="M222" s="18">
        <f t="shared" si="69"/>
        <v>138.20039999999997</v>
      </c>
      <c r="N222" s="18">
        <f t="shared" si="69"/>
        <v>127.56959999999998</v>
      </c>
      <c r="O222" s="18">
        <f t="shared" si="69"/>
        <v>116.93879999999997</v>
      </c>
      <c r="P222" s="18">
        <f t="shared" si="69"/>
        <v>106.30799999999996</v>
      </c>
      <c r="Q222" s="18">
        <f t="shared" si="69"/>
        <v>95.677199999999957</v>
      </c>
      <c r="R222" s="18">
        <f t="shared" si="69"/>
        <v>85.046399999999949</v>
      </c>
      <c r="S222" s="18">
        <f t="shared" si="69"/>
        <v>74.415599999999941</v>
      </c>
      <c r="T222" s="18">
        <f t="shared" si="69"/>
        <v>63.78479999999994</v>
      </c>
      <c r="U222" s="18">
        <f t="shared" si="69"/>
        <v>53.15399999999994</v>
      </c>
      <c r="V222" s="18">
        <f t="shared" si="69"/>
        <v>42.523199999999939</v>
      </c>
      <c r="W222" s="18">
        <f t="shared" si="69"/>
        <v>31.892399999999938</v>
      </c>
      <c r="X222" s="18">
        <f t="shared" si="69"/>
        <v>21.261599999999937</v>
      </c>
      <c r="Y222" s="18">
        <f t="shared" si="69"/>
        <v>10.630799999999939</v>
      </c>
    </row>
    <row r="223" spans="1:26" s="18" customFormat="1" x14ac:dyDescent="0.25"/>
    <row r="224" spans="1:26" s="18" customFormat="1" x14ac:dyDescent="0.25">
      <c r="E224" s="18" t="s">
        <v>13</v>
      </c>
      <c r="F224" s="18">
        <f>F221+F222</f>
        <v>0</v>
      </c>
      <c r="G224" s="18">
        <f t="shared" ref="G224:Y224" si="70">G221+G222</f>
        <v>0</v>
      </c>
      <c r="H224" s="18">
        <f t="shared" si="70"/>
        <v>0</v>
      </c>
      <c r="I224" s="18">
        <f t="shared" si="70"/>
        <v>0</v>
      </c>
      <c r="J224" s="18">
        <f t="shared" si="70"/>
        <v>0</v>
      </c>
      <c r="K224" s="18">
        <f t="shared" si="70"/>
        <v>0</v>
      </c>
      <c r="L224" s="18">
        <f t="shared" si="70"/>
        <v>542.56453333333332</v>
      </c>
      <c r="M224" s="18">
        <f t="shared" si="70"/>
        <v>531.93373333333329</v>
      </c>
      <c r="N224" s="18">
        <f t="shared" si="70"/>
        <v>521.30293333333339</v>
      </c>
      <c r="O224" s="18">
        <f t="shared" si="70"/>
        <v>510.67213333333331</v>
      </c>
      <c r="P224" s="18">
        <f t="shared" si="70"/>
        <v>500.04133333333334</v>
      </c>
      <c r="Q224" s="18">
        <f t="shared" si="70"/>
        <v>489.41053333333332</v>
      </c>
      <c r="R224" s="18">
        <f t="shared" si="70"/>
        <v>478.7797333333333</v>
      </c>
      <c r="S224" s="18">
        <f t="shared" si="70"/>
        <v>468.14893333333328</v>
      </c>
      <c r="T224" s="18">
        <f t="shared" si="70"/>
        <v>457.51813333333331</v>
      </c>
      <c r="U224" s="18">
        <f t="shared" si="70"/>
        <v>446.88733333333329</v>
      </c>
      <c r="V224" s="18">
        <f t="shared" si="70"/>
        <v>436.25653333333327</v>
      </c>
      <c r="W224" s="18">
        <f t="shared" si="70"/>
        <v>425.6257333333333</v>
      </c>
      <c r="X224" s="18">
        <f t="shared" si="70"/>
        <v>414.99493333333328</v>
      </c>
      <c r="Y224" s="18">
        <f t="shared" si="70"/>
        <v>404.36413333333331</v>
      </c>
    </row>
    <row r="225" spans="5:6" s="18" customFormat="1" x14ac:dyDescent="0.25"/>
    <row r="226" spans="5:6" s="18" customFormat="1" x14ac:dyDescent="0.25">
      <c r="E226" s="18" t="s">
        <v>15</v>
      </c>
      <c r="F226" s="37">
        <f>NPV(C204,F224:Y224)</f>
        <v>3559.0291514333981</v>
      </c>
    </row>
  </sheetData>
  <hyperlinks>
    <hyperlink ref="E13" r:id="rId1" display="https://www.londonstockexchange.com/news-article/PYP2/ukraine-reaches-agreement-with-bondholders/16578910" xr:uid="{A2979EDC-3C6D-4E41-B1E1-38588C7E4F8D}"/>
    <hyperlink ref="E14" r:id="rId2" display="https://www.londonstockexchange.com/news-article/PYP2/ukraine-reaches-agreement-with-bondholders/16578910" xr:uid="{B575D1F7-E38E-4662-8E61-F6595A0F850F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1D67C-6218-4DD1-8531-D7D966F828F4}">
  <dimension ref="A1:AX190"/>
  <sheetViews>
    <sheetView topLeftCell="A136" workbookViewId="0">
      <selection activeCell="C50" sqref="C50"/>
    </sheetView>
  </sheetViews>
  <sheetFormatPr defaultRowHeight="15" x14ac:dyDescent="0.25"/>
  <cols>
    <col min="3" max="3" width="12" bestFit="1" customWidth="1"/>
    <col min="10" max="10" width="12" bestFit="1" customWidth="1"/>
  </cols>
  <sheetData>
    <row r="1" spans="1:36" x14ac:dyDescent="0.25">
      <c r="A1" s="1" t="s">
        <v>278</v>
      </c>
    </row>
    <row r="3" spans="1:36" s="29" customFormat="1" x14ac:dyDescent="0.25">
      <c r="A3" s="28" t="s">
        <v>30</v>
      </c>
    </row>
    <row r="4" spans="1:36" s="29" customFormat="1" x14ac:dyDescent="0.25"/>
    <row r="5" spans="1:36" s="29" customFormat="1" x14ac:dyDescent="0.25">
      <c r="B5" s="29">
        <v>2024</v>
      </c>
      <c r="C5" s="29">
        <f>B5+1</f>
        <v>2025</v>
      </c>
      <c r="D5" s="29">
        <f t="shared" ref="D5:L5" si="0">C5+1</f>
        <v>2026</v>
      </c>
      <c r="E5" s="29">
        <f t="shared" si="0"/>
        <v>2027</v>
      </c>
      <c r="F5" s="29">
        <f t="shared" si="0"/>
        <v>2028</v>
      </c>
      <c r="G5" s="29">
        <f t="shared" si="0"/>
        <v>2029</v>
      </c>
      <c r="H5" s="29">
        <f t="shared" si="0"/>
        <v>2030</v>
      </c>
      <c r="I5" s="29">
        <f t="shared" si="0"/>
        <v>2031</v>
      </c>
      <c r="J5" s="29">
        <f t="shared" si="0"/>
        <v>2032</v>
      </c>
      <c r="K5" s="29">
        <f t="shared" si="0"/>
        <v>2033</v>
      </c>
      <c r="L5" s="29">
        <f t="shared" si="0"/>
        <v>2034</v>
      </c>
      <c r="M5" s="29" t="s">
        <v>2</v>
      </c>
      <c r="N5" s="29" t="s">
        <v>3</v>
      </c>
    </row>
    <row r="6" spans="1:36" s="29" customFormat="1" x14ac:dyDescent="0.25">
      <c r="A6" s="29" t="s">
        <v>279</v>
      </c>
      <c r="B6" s="29">
        <v>34</v>
      </c>
      <c r="C6" s="29">
        <v>14</v>
      </c>
      <c r="D6" s="29">
        <v>20</v>
      </c>
      <c r="E6" s="29">
        <v>13</v>
      </c>
      <c r="F6" s="29">
        <v>11</v>
      </c>
      <c r="G6" s="29">
        <v>9</v>
      </c>
      <c r="H6" s="29">
        <v>11</v>
      </c>
      <c r="I6" s="29">
        <v>16</v>
      </c>
      <c r="J6" s="29">
        <v>14</v>
      </c>
      <c r="K6" s="29">
        <v>13</v>
      </c>
      <c r="L6" s="29">
        <v>8</v>
      </c>
      <c r="M6" s="30">
        <f>AVERAGE(B6:L6)</f>
        <v>14.818181818181818</v>
      </c>
      <c r="N6" s="47" t="s">
        <v>282</v>
      </c>
    </row>
    <row r="7" spans="1:36" s="29" customFormat="1" x14ac:dyDescent="0.25">
      <c r="A7" s="29" t="s">
        <v>281</v>
      </c>
      <c r="B7" s="29">
        <f>B8-B6</f>
        <v>0</v>
      </c>
      <c r="C7" s="29">
        <f t="shared" ref="C7:L7" si="1">C8-C6</f>
        <v>0</v>
      </c>
      <c r="D7" s="29">
        <f t="shared" si="1"/>
        <v>2</v>
      </c>
      <c r="E7" s="29">
        <f t="shared" si="1"/>
        <v>4</v>
      </c>
      <c r="F7" s="29">
        <f t="shared" si="1"/>
        <v>4</v>
      </c>
      <c r="G7" s="29">
        <f t="shared" si="1"/>
        <v>5</v>
      </c>
      <c r="H7" s="29">
        <f t="shared" si="1"/>
        <v>4</v>
      </c>
      <c r="I7" s="29">
        <f t="shared" si="1"/>
        <v>4</v>
      </c>
      <c r="J7" s="29">
        <f t="shared" si="1"/>
        <v>12</v>
      </c>
      <c r="K7" s="29">
        <f t="shared" si="1"/>
        <v>12</v>
      </c>
      <c r="L7" s="29">
        <f t="shared" si="1"/>
        <v>13</v>
      </c>
      <c r="M7" s="46"/>
    </row>
    <row r="8" spans="1:36" s="29" customFormat="1" x14ac:dyDescent="0.25">
      <c r="A8" s="29" t="s">
        <v>280</v>
      </c>
      <c r="B8" s="29">
        <v>34</v>
      </c>
      <c r="C8" s="29">
        <v>14</v>
      </c>
      <c r="D8" s="29">
        <v>22</v>
      </c>
      <c r="E8" s="29">
        <v>17</v>
      </c>
      <c r="F8" s="29">
        <v>15</v>
      </c>
      <c r="G8" s="29">
        <v>14</v>
      </c>
      <c r="H8" s="29">
        <v>15</v>
      </c>
      <c r="I8" s="29">
        <v>20</v>
      </c>
      <c r="J8" s="29">
        <v>26</v>
      </c>
      <c r="K8" s="29">
        <v>25</v>
      </c>
      <c r="L8" s="29">
        <v>21</v>
      </c>
      <c r="M8" s="30">
        <f>SUM(B8:L8)/11</f>
        <v>20.272727272727273</v>
      </c>
      <c r="N8" s="47" t="s">
        <v>282</v>
      </c>
    </row>
    <row r="10" spans="1:36" s="8" customFormat="1" x14ac:dyDescent="0.25">
      <c r="A10" s="7" t="s">
        <v>31</v>
      </c>
    </row>
    <row r="11" spans="1:36" s="8" customFormat="1" x14ac:dyDescent="0.25"/>
    <row r="12" spans="1:36" s="8" customFormat="1" x14ac:dyDescent="0.25">
      <c r="A12" s="7" t="s">
        <v>23</v>
      </c>
      <c r="B12" s="8" t="s">
        <v>3</v>
      </c>
      <c r="C12" s="9" t="s">
        <v>290</v>
      </c>
    </row>
    <row r="13" spans="1:36" s="8" customFormat="1" x14ac:dyDescent="0.25">
      <c r="A13" s="7" t="s">
        <v>291</v>
      </c>
      <c r="B13" s="8">
        <v>3000</v>
      </c>
      <c r="C13" s="9"/>
    </row>
    <row r="14" spans="1:36" s="8" customFormat="1" x14ac:dyDescent="0.25">
      <c r="A14" s="7"/>
    </row>
    <row r="15" spans="1:36" s="8" customFormat="1" x14ac:dyDescent="0.25">
      <c r="D15" s="8">
        <v>2021</v>
      </c>
      <c r="E15" s="8">
        <f>D15+1</f>
        <v>2022</v>
      </c>
      <c r="F15" s="8">
        <f t="shared" ref="F15:AJ15" si="2">E15+1</f>
        <v>2023</v>
      </c>
      <c r="G15" s="8">
        <f t="shared" si="2"/>
        <v>2024</v>
      </c>
      <c r="H15" s="8">
        <f t="shared" si="2"/>
        <v>2025</v>
      </c>
      <c r="I15" s="8">
        <f t="shared" si="2"/>
        <v>2026</v>
      </c>
      <c r="J15" s="8">
        <f t="shared" si="2"/>
        <v>2027</v>
      </c>
      <c r="K15" s="8">
        <f t="shared" si="2"/>
        <v>2028</v>
      </c>
      <c r="L15" s="8">
        <f t="shared" si="2"/>
        <v>2029</v>
      </c>
      <c r="M15" s="8">
        <f t="shared" si="2"/>
        <v>2030</v>
      </c>
      <c r="N15" s="8">
        <f t="shared" si="2"/>
        <v>2031</v>
      </c>
      <c r="O15" s="8">
        <f t="shared" si="2"/>
        <v>2032</v>
      </c>
      <c r="P15" s="8">
        <f t="shared" si="2"/>
        <v>2033</v>
      </c>
      <c r="Q15" s="8">
        <f t="shared" si="2"/>
        <v>2034</v>
      </c>
      <c r="R15" s="8">
        <f t="shared" si="2"/>
        <v>2035</v>
      </c>
      <c r="S15" s="8">
        <f t="shared" si="2"/>
        <v>2036</v>
      </c>
      <c r="T15" s="8">
        <f t="shared" si="2"/>
        <v>2037</v>
      </c>
      <c r="U15" s="8">
        <f t="shared" si="2"/>
        <v>2038</v>
      </c>
      <c r="V15" s="8">
        <f t="shared" si="2"/>
        <v>2039</v>
      </c>
      <c r="W15" s="8">
        <f t="shared" si="2"/>
        <v>2040</v>
      </c>
      <c r="X15" s="8">
        <f t="shared" si="2"/>
        <v>2041</v>
      </c>
      <c r="Y15" s="8">
        <f t="shared" si="2"/>
        <v>2042</v>
      </c>
      <c r="Z15" s="8">
        <f t="shared" si="2"/>
        <v>2043</v>
      </c>
      <c r="AA15" s="8">
        <f t="shared" si="2"/>
        <v>2044</v>
      </c>
      <c r="AB15" s="8">
        <f t="shared" si="2"/>
        <v>2045</v>
      </c>
      <c r="AC15" s="8">
        <f t="shared" si="2"/>
        <v>2046</v>
      </c>
      <c r="AD15" s="8">
        <f t="shared" si="2"/>
        <v>2047</v>
      </c>
      <c r="AE15" s="8">
        <f t="shared" si="2"/>
        <v>2048</v>
      </c>
      <c r="AF15" s="8">
        <f t="shared" si="2"/>
        <v>2049</v>
      </c>
      <c r="AG15" s="8">
        <f t="shared" si="2"/>
        <v>2050</v>
      </c>
      <c r="AH15" s="8">
        <f t="shared" si="2"/>
        <v>2051</v>
      </c>
      <c r="AI15" s="8">
        <f t="shared" si="2"/>
        <v>2052</v>
      </c>
      <c r="AJ15" s="8">
        <f t="shared" si="2"/>
        <v>2053</v>
      </c>
    </row>
    <row r="16" spans="1:36" s="8" customFormat="1" x14ac:dyDescent="0.25">
      <c r="A16" s="8" t="s">
        <v>283</v>
      </c>
      <c r="C16" s="8" t="s">
        <v>284</v>
      </c>
      <c r="D16" s="8">
        <v>0</v>
      </c>
      <c r="E16" s="8">
        <v>0</v>
      </c>
      <c r="F16" s="8">
        <v>0</v>
      </c>
      <c r="G16" s="8">
        <v>341</v>
      </c>
      <c r="H16" s="8">
        <v>157</v>
      </c>
      <c r="I16" s="8">
        <v>289</v>
      </c>
      <c r="J16" s="8">
        <v>289</v>
      </c>
      <c r="K16" s="8">
        <v>128</v>
      </c>
      <c r="L16" s="8">
        <v>9</v>
      </c>
      <c r="M16" s="8">
        <v>9</v>
      </c>
      <c r="N16" s="8">
        <v>9</v>
      </c>
      <c r="O16" s="8">
        <v>236</v>
      </c>
      <c r="P16" s="8">
        <v>233</v>
      </c>
      <c r="Q16" s="8">
        <v>0</v>
      </c>
      <c r="R16" s="8">
        <v>0</v>
      </c>
    </row>
    <row r="17" spans="1:36" s="8" customFormat="1" x14ac:dyDescent="0.25">
      <c r="C17" s="8" t="s">
        <v>69</v>
      </c>
      <c r="F17" s="8">
        <v>1700</v>
      </c>
      <c r="G17" s="8">
        <f>F17-F16</f>
        <v>1700</v>
      </c>
      <c r="H17" s="8">
        <f>G17-G16</f>
        <v>1359</v>
      </c>
      <c r="I17" s="8">
        <f>H17-H16</f>
        <v>1202</v>
      </c>
      <c r="J17" s="8">
        <f t="shared" ref="J17:P17" si="3">I17-I16</f>
        <v>913</v>
      </c>
      <c r="K17" s="8">
        <f t="shared" si="3"/>
        <v>624</v>
      </c>
      <c r="L17" s="8">
        <f t="shared" si="3"/>
        <v>496</v>
      </c>
      <c r="M17" s="8">
        <f t="shared" si="3"/>
        <v>487</v>
      </c>
      <c r="N17" s="8">
        <f t="shared" si="3"/>
        <v>478</v>
      </c>
      <c r="O17" s="8">
        <f t="shared" si="3"/>
        <v>469</v>
      </c>
      <c r="P17" s="8">
        <f t="shared" si="3"/>
        <v>233</v>
      </c>
      <c r="Q17" s="8">
        <v>0</v>
      </c>
      <c r="R17" s="8">
        <v>0</v>
      </c>
      <c r="S17" s="8">
        <v>0</v>
      </c>
    </row>
    <row r="18" spans="1:36" s="8" customFormat="1" x14ac:dyDescent="0.25">
      <c r="C18" s="8" t="s">
        <v>70</v>
      </c>
      <c r="D18" s="8">
        <v>0</v>
      </c>
      <c r="E18" s="8">
        <v>0</v>
      </c>
      <c r="F18" s="8">
        <v>0</v>
      </c>
      <c r="G18" s="8">
        <f>G17*0.0575</f>
        <v>97.75</v>
      </c>
      <c r="H18" s="8">
        <f t="shared" ref="H18:N18" si="4">H17*0.0575</f>
        <v>78.142499999999998</v>
      </c>
      <c r="I18" s="8">
        <f t="shared" si="4"/>
        <v>69.115000000000009</v>
      </c>
      <c r="J18" s="8">
        <f t="shared" si="4"/>
        <v>52.497500000000002</v>
      </c>
      <c r="K18" s="8">
        <f t="shared" si="4"/>
        <v>35.880000000000003</v>
      </c>
      <c r="L18" s="8">
        <f t="shared" si="4"/>
        <v>28.52</v>
      </c>
      <c r="M18" s="8">
        <f t="shared" si="4"/>
        <v>28.002500000000001</v>
      </c>
      <c r="N18" s="8">
        <f t="shared" si="4"/>
        <v>27.484999999999999</v>
      </c>
      <c r="O18" s="8">
        <f>O17*0.075</f>
        <v>35.174999999999997</v>
      </c>
      <c r="P18" s="8">
        <f>P17*0.075</f>
        <v>17.474999999999998</v>
      </c>
      <c r="Q18" s="8">
        <f t="shared" ref="Q18:S18" si="5">Q17*0.08</f>
        <v>0</v>
      </c>
      <c r="R18" s="8">
        <f t="shared" si="5"/>
        <v>0</v>
      </c>
      <c r="S18" s="8">
        <f t="shared" si="5"/>
        <v>0</v>
      </c>
    </row>
    <row r="19" spans="1:36" s="8" customFormat="1" x14ac:dyDescent="0.25">
      <c r="C19" s="8" t="s">
        <v>13</v>
      </c>
      <c r="D19" s="8">
        <f>D16+D18</f>
        <v>0</v>
      </c>
      <c r="E19" s="8">
        <f t="shared" ref="E19:S19" si="6">E16+E18</f>
        <v>0</v>
      </c>
      <c r="F19" s="8">
        <f t="shared" si="6"/>
        <v>0</v>
      </c>
      <c r="G19" s="8">
        <f t="shared" si="6"/>
        <v>438.75</v>
      </c>
      <c r="H19" s="8">
        <f t="shared" si="6"/>
        <v>235.14249999999998</v>
      </c>
      <c r="I19" s="8">
        <f t="shared" si="6"/>
        <v>358.11500000000001</v>
      </c>
      <c r="J19" s="8">
        <f t="shared" si="6"/>
        <v>341.4975</v>
      </c>
      <c r="K19" s="8">
        <f t="shared" si="6"/>
        <v>163.88</v>
      </c>
      <c r="L19" s="8">
        <f t="shared" si="6"/>
        <v>37.519999999999996</v>
      </c>
      <c r="M19" s="8">
        <f t="shared" si="6"/>
        <v>37.002499999999998</v>
      </c>
      <c r="N19" s="8">
        <f t="shared" si="6"/>
        <v>36.484999999999999</v>
      </c>
      <c r="O19" s="8">
        <f t="shared" si="6"/>
        <v>271.17500000000001</v>
      </c>
      <c r="P19" s="8">
        <f t="shared" si="6"/>
        <v>250.47499999999999</v>
      </c>
      <c r="Q19" s="8">
        <f t="shared" si="6"/>
        <v>0</v>
      </c>
      <c r="R19" s="8">
        <f t="shared" si="6"/>
        <v>0</v>
      </c>
      <c r="S19" s="8">
        <f t="shared" si="6"/>
        <v>0</v>
      </c>
    </row>
    <row r="20" spans="1:36" s="8" customFormat="1" x14ac:dyDescent="0.25">
      <c r="A20" s="8" t="s">
        <v>285</v>
      </c>
      <c r="C20" s="8" t="s">
        <v>284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  <c r="Y20" s="8">
        <v>0</v>
      </c>
      <c r="Z20" s="8">
        <v>0</v>
      </c>
      <c r="AA20" s="8">
        <v>0</v>
      </c>
      <c r="AB20" s="8">
        <v>0</v>
      </c>
      <c r="AC20" s="8">
        <v>0</v>
      </c>
      <c r="AD20" s="8">
        <v>0</v>
      </c>
      <c r="AE20" s="8">
        <v>0</v>
      </c>
      <c r="AF20" s="8">
        <v>0</v>
      </c>
      <c r="AG20" s="8">
        <v>0</v>
      </c>
      <c r="AH20" s="8">
        <v>378.33</v>
      </c>
      <c r="AI20" s="8">
        <v>378.33</v>
      </c>
      <c r="AJ20" s="8">
        <v>378.33</v>
      </c>
    </row>
    <row r="21" spans="1:36" s="8" customFormat="1" x14ac:dyDescent="0.25">
      <c r="C21" s="8" t="s">
        <v>69</v>
      </c>
      <c r="F21" s="8">
        <v>1350</v>
      </c>
      <c r="G21" s="8">
        <v>1350</v>
      </c>
      <c r="H21" s="8">
        <v>1350</v>
      </c>
      <c r="I21" s="8">
        <v>1350</v>
      </c>
      <c r="J21" s="8">
        <v>1350</v>
      </c>
      <c r="K21" s="8">
        <v>1350</v>
      </c>
      <c r="L21" s="8">
        <v>1350</v>
      </c>
      <c r="M21" s="8">
        <v>1350</v>
      </c>
      <c r="N21" s="8">
        <v>1350</v>
      </c>
      <c r="O21" s="8">
        <v>1350</v>
      </c>
      <c r="P21" s="8">
        <v>1350</v>
      </c>
      <c r="Q21" s="8">
        <v>1350</v>
      </c>
      <c r="R21" s="8">
        <v>1350</v>
      </c>
      <c r="S21" s="8">
        <v>1350</v>
      </c>
      <c r="T21" s="8">
        <v>1350</v>
      </c>
      <c r="U21" s="8">
        <v>1350</v>
      </c>
      <c r="V21" s="8">
        <v>1350</v>
      </c>
      <c r="W21" s="8">
        <v>1350</v>
      </c>
      <c r="X21" s="8">
        <v>1350</v>
      </c>
      <c r="Y21" s="8">
        <v>1350</v>
      </c>
      <c r="Z21" s="8">
        <v>1350</v>
      </c>
      <c r="AA21" s="8">
        <v>1350</v>
      </c>
      <c r="AB21" s="8">
        <v>1350</v>
      </c>
      <c r="AC21" s="8">
        <v>1350</v>
      </c>
      <c r="AD21" s="8">
        <v>1350</v>
      </c>
      <c r="AE21" s="8">
        <v>1350</v>
      </c>
      <c r="AF21" s="8">
        <v>1350</v>
      </c>
      <c r="AG21" s="8">
        <v>1350</v>
      </c>
      <c r="AH21" s="8">
        <v>1350</v>
      </c>
      <c r="AI21" s="8">
        <f>AH21-AH20</f>
        <v>971.67000000000007</v>
      </c>
      <c r="AJ21" s="8">
        <f t="shared" ref="AJ21" si="7">AI21-AI20</f>
        <v>593.34000000000015</v>
      </c>
    </row>
    <row r="22" spans="1:36" s="8" customFormat="1" x14ac:dyDescent="0.25">
      <c r="C22" s="8" t="s">
        <v>70</v>
      </c>
      <c r="D22" s="8">
        <v>0</v>
      </c>
      <c r="E22" s="8">
        <v>0</v>
      </c>
      <c r="F22" s="8">
        <v>0</v>
      </c>
      <c r="G22" s="8">
        <f>F21*0.005</f>
        <v>6.75</v>
      </c>
      <c r="H22" s="8">
        <f t="shared" ref="H22:AJ22" si="8">G21*0.005</f>
        <v>6.75</v>
      </c>
      <c r="I22" s="8">
        <f t="shared" si="8"/>
        <v>6.75</v>
      </c>
      <c r="J22" s="8">
        <f t="shared" si="8"/>
        <v>6.75</v>
      </c>
      <c r="K22" s="8">
        <f t="shared" si="8"/>
        <v>6.75</v>
      </c>
      <c r="L22" s="8">
        <f t="shared" si="8"/>
        <v>6.75</v>
      </c>
      <c r="M22" s="8">
        <f t="shared" si="8"/>
        <v>6.75</v>
      </c>
      <c r="N22" s="8">
        <f t="shared" si="8"/>
        <v>6.75</v>
      </c>
      <c r="O22" s="8">
        <f t="shared" si="8"/>
        <v>6.75</v>
      </c>
      <c r="P22" s="8">
        <f t="shared" si="8"/>
        <v>6.75</v>
      </c>
      <c r="Q22" s="8">
        <f t="shared" si="8"/>
        <v>6.75</v>
      </c>
      <c r="R22" s="8">
        <f t="shared" si="8"/>
        <v>6.75</v>
      </c>
      <c r="S22" s="8">
        <f t="shared" si="8"/>
        <v>6.75</v>
      </c>
      <c r="T22" s="8">
        <f t="shared" si="8"/>
        <v>6.75</v>
      </c>
      <c r="U22" s="8">
        <f t="shared" si="8"/>
        <v>6.75</v>
      </c>
      <c r="V22" s="8">
        <f t="shared" si="8"/>
        <v>6.75</v>
      </c>
      <c r="W22" s="8">
        <f t="shared" si="8"/>
        <v>6.75</v>
      </c>
      <c r="X22" s="8">
        <f t="shared" si="8"/>
        <v>6.75</v>
      </c>
      <c r="Y22" s="8">
        <f t="shared" si="8"/>
        <v>6.75</v>
      </c>
      <c r="Z22" s="8">
        <f t="shared" si="8"/>
        <v>6.75</v>
      </c>
      <c r="AA22" s="8">
        <f t="shared" si="8"/>
        <v>6.75</v>
      </c>
      <c r="AB22" s="8">
        <f t="shared" si="8"/>
        <v>6.75</v>
      </c>
      <c r="AC22" s="8">
        <f t="shared" si="8"/>
        <v>6.75</v>
      </c>
      <c r="AD22" s="8">
        <f t="shared" si="8"/>
        <v>6.75</v>
      </c>
      <c r="AE22" s="8">
        <f t="shared" si="8"/>
        <v>6.75</v>
      </c>
      <c r="AF22" s="8">
        <f t="shared" si="8"/>
        <v>6.75</v>
      </c>
      <c r="AG22" s="8">
        <f t="shared" si="8"/>
        <v>6.75</v>
      </c>
      <c r="AH22" s="8">
        <f t="shared" si="8"/>
        <v>6.75</v>
      </c>
      <c r="AI22" s="8">
        <f t="shared" si="8"/>
        <v>6.75</v>
      </c>
      <c r="AJ22" s="8">
        <f t="shared" si="8"/>
        <v>4.8583500000000006</v>
      </c>
    </row>
    <row r="23" spans="1:36" s="8" customFormat="1" x14ac:dyDescent="0.25">
      <c r="C23" s="8" t="s">
        <v>13</v>
      </c>
      <c r="D23" s="8">
        <f>D20+D22</f>
        <v>0</v>
      </c>
      <c r="E23" s="8">
        <f t="shared" ref="E23:AJ23" si="9">E20+E22</f>
        <v>0</v>
      </c>
      <c r="F23" s="8">
        <f t="shared" si="9"/>
        <v>0</v>
      </c>
      <c r="G23" s="8">
        <f t="shared" si="9"/>
        <v>6.75</v>
      </c>
      <c r="H23" s="8">
        <f t="shared" si="9"/>
        <v>6.75</v>
      </c>
      <c r="I23" s="8">
        <f t="shared" si="9"/>
        <v>6.75</v>
      </c>
      <c r="J23" s="8">
        <f t="shared" si="9"/>
        <v>6.75</v>
      </c>
      <c r="K23" s="8">
        <f t="shared" si="9"/>
        <v>6.75</v>
      </c>
      <c r="L23" s="8">
        <f t="shared" si="9"/>
        <v>6.75</v>
      </c>
      <c r="M23" s="8">
        <f t="shared" si="9"/>
        <v>6.75</v>
      </c>
      <c r="N23" s="8">
        <f t="shared" si="9"/>
        <v>6.75</v>
      </c>
      <c r="O23" s="8">
        <f t="shared" si="9"/>
        <v>6.75</v>
      </c>
      <c r="P23" s="8">
        <f t="shared" si="9"/>
        <v>6.75</v>
      </c>
      <c r="Q23" s="8">
        <f t="shared" si="9"/>
        <v>6.75</v>
      </c>
      <c r="R23" s="8">
        <f t="shared" si="9"/>
        <v>6.75</v>
      </c>
      <c r="S23" s="8">
        <f t="shared" si="9"/>
        <v>6.75</v>
      </c>
      <c r="T23" s="8">
        <f t="shared" si="9"/>
        <v>6.75</v>
      </c>
      <c r="U23" s="8">
        <f t="shared" si="9"/>
        <v>6.75</v>
      </c>
      <c r="V23" s="8">
        <f t="shared" si="9"/>
        <v>6.75</v>
      </c>
      <c r="W23" s="8">
        <f t="shared" si="9"/>
        <v>6.75</v>
      </c>
      <c r="X23" s="8">
        <f t="shared" si="9"/>
        <v>6.75</v>
      </c>
      <c r="Y23" s="8">
        <f t="shared" si="9"/>
        <v>6.75</v>
      </c>
      <c r="Z23" s="8">
        <f t="shared" si="9"/>
        <v>6.75</v>
      </c>
      <c r="AA23" s="8">
        <f t="shared" si="9"/>
        <v>6.75</v>
      </c>
      <c r="AB23" s="8">
        <f t="shared" si="9"/>
        <v>6.75</v>
      </c>
      <c r="AC23" s="8">
        <f t="shared" si="9"/>
        <v>6.75</v>
      </c>
      <c r="AD23" s="8">
        <f t="shared" si="9"/>
        <v>6.75</v>
      </c>
      <c r="AE23" s="8">
        <f t="shared" si="9"/>
        <v>6.75</v>
      </c>
      <c r="AF23" s="8">
        <f t="shared" si="9"/>
        <v>6.75</v>
      </c>
      <c r="AG23" s="8">
        <f t="shared" si="9"/>
        <v>6.75</v>
      </c>
      <c r="AH23" s="8">
        <f t="shared" si="9"/>
        <v>385.08</v>
      </c>
      <c r="AI23" s="8">
        <f t="shared" si="9"/>
        <v>385.08</v>
      </c>
      <c r="AJ23" s="8">
        <f t="shared" si="9"/>
        <v>383.18834999999996</v>
      </c>
    </row>
    <row r="24" spans="1:36" s="8" customFormat="1" x14ac:dyDescent="0.25"/>
    <row r="25" spans="1:36" s="8" customFormat="1" x14ac:dyDescent="0.25">
      <c r="C25" s="8" t="s">
        <v>68</v>
      </c>
      <c r="G25" s="8">
        <v>45</v>
      </c>
    </row>
    <row r="26" spans="1:36" s="8" customFormat="1" x14ac:dyDescent="0.25"/>
    <row r="27" spans="1:36" s="8" customFormat="1" x14ac:dyDescent="0.25">
      <c r="A27" s="8" t="s">
        <v>14</v>
      </c>
      <c r="B27" s="8">
        <v>0.05</v>
      </c>
      <c r="C27" s="8" t="s">
        <v>286</v>
      </c>
      <c r="D27" s="8">
        <f>D19+D23+D25</f>
        <v>0</v>
      </c>
      <c r="E27" s="8">
        <f t="shared" ref="E27:AJ27" si="10">E19+E23+E25</f>
        <v>0</v>
      </c>
      <c r="F27" s="8">
        <f t="shared" si="10"/>
        <v>0</v>
      </c>
      <c r="G27" s="8">
        <f t="shared" si="10"/>
        <v>490.5</v>
      </c>
      <c r="H27" s="8">
        <f t="shared" si="10"/>
        <v>241.89249999999998</v>
      </c>
      <c r="I27" s="8">
        <f t="shared" si="10"/>
        <v>364.86500000000001</v>
      </c>
      <c r="J27" s="8">
        <f t="shared" si="10"/>
        <v>348.2475</v>
      </c>
      <c r="K27" s="8">
        <f t="shared" si="10"/>
        <v>170.63</v>
      </c>
      <c r="L27" s="8">
        <f t="shared" si="10"/>
        <v>44.269999999999996</v>
      </c>
      <c r="M27" s="8">
        <f t="shared" si="10"/>
        <v>43.752499999999998</v>
      </c>
      <c r="N27" s="8">
        <f t="shared" si="10"/>
        <v>43.234999999999999</v>
      </c>
      <c r="O27" s="8">
        <f t="shared" si="10"/>
        <v>277.92500000000001</v>
      </c>
      <c r="P27" s="8">
        <f t="shared" si="10"/>
        <v>257.22500000000002</v>
      </c>
      <c r="Q27" s="8">
        <f t="shared" si="10"/>
        <v>6.75</v>
      </c>
      <c r="R27" s="8">
        <f t="shared" si="10"/>
        <v>6.75</v>
      </c>
      <c r="S27" s="8">
        <f t="shared" si="10"/>
        <v>6.75</v>
      </c>
      <c r="T27" s="8">
        <f t="shared" si="10"/>
        <v>6.75</v>
      </c>
      <c r="U27" s="8">
        <f t="shared" si="10"/>
        <v>6.75</v>
      </c>
      <c r="V27" s="8">
        <f t="shared" si="10"/>
        <v>6.75</v>
      </c>
      <c r="W27" s="8">
        <f t="shared" si="10"/>
        <v>6.75</v>
      </c>
      <c r="X27" s="8">
        <f t="shared" si="10"/>
        <v>6.75</v>
      </c>
      <c r="Y27" s="8">
        <f t="shared" si="10"/>
        <v>6.75</v>
      </c>
      <c r="Z27" s="8">
        <f t="shared" si="10"/>
        <v>6.75</v>
      </c>
      <c r="AA27" s="8">
        <f t="shared" si="10"/>
        <v>6.75</v>
      </c>
      <c r="AB27" s="8">
        <f t="shared" si="10"/>
        <v>6.75</v>
      </c>
      <c r="AC27" s="8">
        <f t="shared" si="10"/>
        <v>6.75</v>
      </c>
      <c r="AD27" s="8">
        <f t="shared" si="10"/>
        <v>6.75</v>
      </c>
      <c r="AE27" s="8">
        <f t="shared" si="10"/>
        <v>6.75</v>
      </c>
      <c r="AF27" s="8">
        <f t="shared" si="10"/>
        <v>6.75</v>
      </c>
      <c r="AG27" s="8">
        <f t="shared" si="10"/>
        <v>6.75</v>
      </c>
      <c r="AH27" s="8">
        <f t="shared" si="10"/>
        <v>385.08</v>
      </c>
      <c r="AI27" s="8">
        <f t="shared" si="10"/>
        <v>385.08</v>
      </c>
      <c r="AJ27" s="8">
        <f t="shared" si="10"/>
        <v>383.18834999999996</v>
      </c>
    </row>
    <row r="28" spans="1:36" s="8" customFormat="1" x14ac:dyDescent="0.25"/>
    <row r="29" spans="1:36" s="8" customFormat="1" x14ac:dyDescent="0.25">
      <c r="B29" s="8" t="s">
        <v>15</v>
      </c>
      <c r="C29" s="10">
        <f>NPV(B27,D27:AJ27)</f>
        <v>1882.7788243903124</v>
      </c>
    </row>
    <row r="30" spans="1:36" s="8" customFormat="1" x14ac:dyDescent="0.25">
      <c r="B30" s="8" t="s">
        <v>287</v>
      </c>
      <c r="C30" s="11">
        <f>C29/B13</f>
        <v>0.62759294146343747</v>
      </c>
    </row>
    <row r="31" spans="1:36" s="8" customFormat="1" x14ac:dyDescent="0.25"/>
    <row r="32" spans="1:36" s="8" customFormat="1" x14ac:dyDescent="0.25">
      <c r="A32" s="7" t="s">
        <v>288</v>
      </c>
      <c r="D32" s="8">
        <v>2021</v>
      </c>
      <c r="E32" s="8">
        <f>D32+1</f>
        <v>2022</v>
      </c>
      <c r="F32" s="8">
        <f t="shared" ref="F32:R32" si="11">E32+1</f>
        <v>2023</v>
      </c>
      <c r="G32" s="8">
        <f t="shared" si="11"/>
        <v>2024</v>
      </c>
      <c r="H32" s="8">
        <f t="shared" si="11"/>
        <v>2025</v>
      </c>
      <c r="I32" s="8">
        <f t="shared" si="11"/>
        <v>2026</v>
      </c>
      <c r="J32" s="8">
        <f t="shared" si="11"/>
        <v>2027</v>
      </c>
      <c r="K32" s="8">
        <f t="shared" si="11"/>
        <v>2028</v>
      </c>
      <c r="L32" s="8">
        <f t="shared" si="11"/>
        <v>2029</v>
      </c>
      <c r="M32" s="8">
        <f t="shared" si="11"/>
        <v>2030</v>
      </c>
      <c r="N32" s="8">
        <f t="shared" si="11"/>
        <v>2031</v>
      </c>
      <c r="O32" s="8">
        <f t="shared" si="11"/>
        <v>2032</v>
      </c>
      <c r="P32" s="8">
        <f t="shared" si="11"/>
        <v>2033</v>
      </c>
      <c r="Q32" s="8">
        <f t="shared" si="11"/>
        <v>2034</v>
      </c>
      <c r="R32" s="8">
        <f t="shared" si="11"/>
        <v>2035</v>
      </c>
    </row>
    <row r="33" spans="1:27" s="8" customFormat="1" x14ac:dyDescent="0.25">
      <c r="A33" s="8" t="s">
        <v>285</v>
      </c>
      <c r="C33" s="8" t="s">
        <v>284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f>O34/4</f>
        <v>337.5</v>
      </c>
      <c r="P33" s="8">
        <v>337.5</v>
      </c>
      <c r="Q33" s="8">
        <v>337.5</v>
      </c>
      <c r="R33" s="8">
        <v>337.5</v>
      </c>
    </row>
    <row r="34" spans="1:27" s="8" customFormat="1" x14ac:dyDescent="0.25">
      <c r="C34" s="8" t="s">
        <v>69</v>
      </c>
      <c r="F34" s="8">
        <v>1350</v>
      </c>
      <c r="G34" s="8">
        <v>1350</v>
      </c>
      <c r="H34" s="8">
        <v>1350</v>
      </c>
      <c r="I34" s="8">
        <v>1350</v>
      </c>
      <c r="J34" s="8">
        <v>1350</v>
      </c>
      <c r="K34" s="8">
        <v>1350</v>
      </c>
      <c r="L34" s="8">
        <v>1350</v>
      </c>
      <c r="M34" s="8">
        <v>1350</v>
      </c>
      <c r="N34" s="8">
        <v>1350</v>
      </c>
      <c r="O34" s="8">
        <v>1350</v>
      </c>
      <c r="P34" s="8">
        <f>O34-O33</f>
        <v>1012.5</v>
      </c>
      <c r="Q34" s="8">
        <f t="shared" ref="Q34:S34" si="12">P34-P33</f>
        <v>675</v>
      </c>
      <c r="R34" s="8">
        <f t="shared" si="12"/>
        <v>337.5</v>
      </c>
      <c r="S34" s="8">
        <f t="shared" si="12"/>
        <v>0</v>
      </c>
    </row>
    <row r="35" spans="1:27" s="8" customFormat="1" x14ac:dyDescent="0.25">
      <c r="C35" s="8" t="s">
        <v>70</v>
      </c>
      <c r="D35" s="8">
        <v>0</v>
      </c>
      <c r="E35" s="8">
        <v>0</v>
      </c>
      <c r="F35" s="8">
        <v>0</v>
      </c>
      <c r="G35" s="8">
        <f>F34*0.005</f>
        <v>6.75</v>
      </c>
      <c r="H35" s="8">
        <f t="shared" ref="H35" si="13">G34*0.005</f>
        <v>6.75</v>
      </c>
      <c r="I35" s="8">
        <f>H34*0.075</f>
        <v>101.25</v>
      </c>
      <c r="J35" s="8">
        <f t="shared" ref="J35:R35" si="14">I34*0.075</f>
        <v>101.25</v>
      </c>
      <c r="K35" s="8">
        <f t="shared" si="14"/>
        <v>101.25</v>
      </c>
      <c r="L35" s="8">
        <f t="shared" si="14"/>
        <v>101.25</v>
      </c>
      <c r="M35" s="8">
        <f t="shared" si="14"/>
        <v>101.25</v>
      </c>
      <c r="N35" s="8">
        <f t="shared" si="14"/>
        <v>101.25</v>
      </c>
      <c r="O35" s="8">
        <f t="shared" si="14"/>
        <v>101.25</v>
      </c>
      <c r="P35" s="8">
        <f t="shared" si="14"/>
        <v>101.25</v>
      </c>
      <c r="Q35" s="8">
        <f t="shared" si="14"/>
        <v>75.9375</v>
      </c>
      <c r="R35" s="8">
        <f t="shared" si="14"/>
        <v>50.625</v>
      </c>
    </row>
    <row r="36" spans="1:27" s="8" customFormat="1" x14ac:dyDescent="0.25">
      <c r="C36" s="8" t="s">
        <v>13</v>
      </c>
      <c r="D36" s="8">
        <f>D33+D35</f>
        <v>0</v>
      </c>
      <c r="E36" s="8">
        <f t="shared" ref="E36:R36" si="15">E33+E35</f>
        <v>0</v>
      </c>
      <c r="F36" s="8">
        <f t="shared" si="15"/>
        <v>0</v>
      </c>
      <c r="G36" s="8">
        <f t="shared" si="15"/>
        <v>6.75</v>
      </c>
      <c r="H36" s="8">
        <f t="shared" si="15"/>
        <v>6.75</v>
      </c>
      <c r="I36" s="8">
        <f t="shared" si="15"/>
        <v>101.25</v>
      </c>
      <c r="J36" s="8">
        <f t="shared" si="15"/>
        <v>101.25</v>
      </c>
      <c r="K36" s="8">
        <f t="shared" si="15"/>
        <v>101.25</v>
      </c>
      <c r="L36" s="8">
        <f t="shared" si="15"/>
        <v>101.25</v>
      </c>
      <c r="M36" s="8">
        <f t="shared" si="15"/>
        <v>101.25</v>
      </c>
      <c r="N36" s="8">
        <f t="shared" si="15"/>
        <v>101.25</v>
      </c>
      <c r="O36" s="8">
        <f t="shared" si="15"/>
        <v>438.75</v>
      </c>
      <c r="P36" s="8">
        <f t="shared" si="15"/>
        <v>438.75</v>
      </c>
      <c r="Q36" s="8">
        <f t="shared" si="15"/>
        <v>413.4375</v>
      </c>
      <c r="R36" s="8">
        <f t="shared" si="15"/>
        <v>388.125</v>
      </c>
    </row>
    <row r="37" spans="1:27" s="8" customFormat="1" x14ac:dyDescent="0.25"/>
    <row r="38" spans="1:27" s="8" customFormat="1" x14ac:dyDescent="0.25">
      <c r="A38" s="8" t="s">
        <v>14</v>
      </c>
      <c r="B38" s="8">
        <v>0.05</v>
      </c>
      <c r="C38" s="8" t="s">
        <v>289</v>
      </c>
      <c r="D38" s="8">
        <f>D19+D25+D36</f>
        <v>0</v>
      </c>
      <c r="E38" s="8">
        <f t="shared" ref="E38:R38" si="16">E19+E25+E36</f>
        <v>0</v>
      </c>
      <c r="F38" s="8">
        <f t="shared" si="16"/>
        <v>0</v>
      </c>
      <c r="G38" s="8">
        <f t="shared" si="16"/>
        <v>490.5</v>
      </c>
      <c r="H38" s="8">
        <f t="shared" si="16"/>
        <v>241.89249999999998</v>
      </c>
      <c r="I38" s="8">
        <f t="shared" si="16"/>
        <v>459.36500000000001</v>
      </c>
      <c r="J38" s="8">
        <f t="shared" si="16"/>
        <v>442.7475</v>
      </c>
      <c r="K38" s="8">
        <f t="shared" si="16"/>
        <v>265.13</v>
      </c>
      <c r="L38" s="8">
        <f t="shared" si="16"/>
        <v>138.76999999999998</v>
      </c>
      <c r="M38" s="8">
        <f t="shared" si="16"/>
        <v>138.2525</v>
      </c>
      <c r="N38" s="8">
        <f t="shared" si="16"/>
        <v>137.73500000000001</v>
      </c>
      <c r="O38" s="8">
        <f t="shared" si="16"/>
        <v>709.92499999999995</v>
      </c>
      <c r="P38" s="8">
        <f t="shared" si="16"/>
        <v>689.22500000000002</v>
      </c>
      <c r="Q38" s="8">
        <f t="shared" si="16"/>
        <v>413.4375</v>
      </c>
      <c r="R38" s="8">
        <f t="shared" si="16"/>
        <v>388.125</v>
      </c>
    </row>
    <row r="39" spans="1:27" s="8" customFormat="1" x14ac:dyDescent="0.25"/>
    <row r="40" spans="1:27" s="8" customFormat="1" x14ac:dyDescent="0.25">
      <c r="B40" s="8" t="s">
        <v>15</v>
      </c>
      <c r="C40" s="10">
        <f>NPV(B38,D38:AJ38)</f>
        <v>2841.1432583326832</v>
      </c>
    </row>
    <row r="41" spans="1:27" s="8" customFormat="1" x14ac:dyDescent="0.25">
      <c r="B41" s="8" t="s">
        <v>287</v>
      </c>
      <c r="C41" s="11">
        <f>C40/3000</f>
        <v>0.94704775277756104</v>
      </c>
    </row>
    <row r="42" spans="1:27" s="8" customFormat="1" x14ac:dyDescent="0.25"/>
    <row r="43" spans="1:27" s="8" customFormat="1" x14ac:dyDescent="0.25">
      <c r="A43" s="7" t="s">
        <v>17</v>
      </c>
      <c r="B43" s="8" t="s">
        <v>3</v>
      </c>
      <c r="C43" s="9" t="s">
        <v>294</v>
      </c>
    </row>
    <row r="44" spans="1:27" s="8" customFormat="1" x14ac:dyDescent="0.25">
      <c r="A44" s="8" t="s">
        <v>292</v>
      </c>
      <c r="B44" s="8">
        <v>6300</v>
      </c>
      <c r="C44" s="9" t="s">
        <v>412</v>
      </c>
    </row>
    <row r="45" spans="1:27" s="8" customFormat="1" x14ac:dyDescent="0.25">
      <c r="C45" s="8" t="s">
        <v>413</v>
      </c>
    </row>
    <row r="46" spans="1:27" s="8" customFormat="1" x14ac:dyDescent="0.25">
      <c r="A46" s="7" t="s">
        <v>165</v>
      </c>
    </row>
    <row r="47" spans="1:27" s="8" customFormat="1" x14ac:dyDescent="0.25">
      <c r="A47" s="7"/>
      <c r="D47" s="8">
        <v>2021</v>
      </c>
      <c r="E47" s="8">
        <f>D47+1</f>
        <v>2022</v>
      </c>
      <c r="F47" s="8">
        <f t="shared" ref="F47:J47" si="17">E47+1</f>
        <v>2023</v>
      </c>
      <c r="G47" s="8">
        <f t="shared" si="17"/>
        <v>2024</v>
      </c>
      <c r="H47" s="8">
        <f t="shared" si="17"/>
        <v>2025</v>
      </c>
      <c r="I47" s="8">
        <f t="shared" si="17"/>
        <v>2026</v>
      </c>
      <c r="J47" s="8">
        <f t="shared" si="17"/>
        <v>2027</v>
      </c>
      <c r="K47" s="8">
        <f>J47+1</f>
        <v>2028</v>
      </c>
      <c r="L47" s="8">
        <f>K47+1</f>
        <v>2029</v>
      </c>
      <c r="M47" s="8">
        <f>L47+1</f>
        <v>2030</v>
      </c>
      <c r="N47" s="8">
        <f t="shared" ref="N47:Q47" si="18">M47+1</f>
        <v>2031</v>
      </c>
      <c r="O47" s="8">
        <f t="shared" si="18"/>
        <v>2032</v>
      </c>
      <c r="P47" s="8">
        <f t="shared" si="18"/>
        <v>2033</v>
      </c>
      <c r="Q47" s="8">
        <f t="shared" si="18"/>
        <v>2034</v>
      </c>
      <c r="R47" s="8">
        <f>Q47+1</f>
        <v>2035</v>
      </c>
      <c r="S47" s="8">
        <f t="shared" ref="S47:AA47" si="19">R47+1</f>
        <v>2036</v>
      </c>
      <c r="T47" s="8">
        <f t="shared" si="19"/>
        <v>2037</v>
      </c>
      <c r="U47" s="8">
        <f t="shared" si="19"/>
        <v>2038</v>
      </c>
      <c r="V47" s="8">
        <f t="shared" si="19"/>
        <v>2039</v>
      </c>
      <c r="W47" s="8">
        <f t="shared" si="19"/>
        <v>2040</v>
      </c>
      <c r="X47" s="8">
        <f t="shared" si="19"/>
        <v>2041</v>
      </c>
      <c r="Y47" s="8">
        <f t="shared" si="19"/>
        <v>2042</v>
      </c>
      <c r="Z47" s="8">
        <f t="shared" si="19"/>
        <v>2043</v>
      </c>
      <c r="AA47" s="8">
        <f t="shared" si="19"/>
        <v>2044</v>
      </c>
    </row>
    <row r="48" spans="1:27" s="8" customFormat="1" x14ac:dyDescent="0.25">
      <c r="C48" s="8" t="s">
        <v>29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f>B44*0.005</f>
        <v>31.5</v>
      </c>
      <c r="J48" s="8">
        <f>I48</f>
        <v>31.5</v>
      </c>
      <c r="K48" s="8">
        <f t="shared" ref="K48:R48" si="20">J48</f>
        <v>31.5</v>
      </c>
      <c r="L48" s="8">
        <f t="shared" si="20"/>
        <v>31.5</v>
      </c>
      <c r="M48" s="8">
        <f t="shared" si="20"/>
        <v>31.5</v>
      </c>
      <c r="N48" s="8">
        <f t="shared" si="20"/>
        <v>31.5</v>
      </c>
      <c r="O48" s="8">
        <f t="shared" si="20"/>
        <v>31.5</v>
      </c>
      <c r="P48" s="8">
        <f t="shared" si="20"/>
        <v>31.5</v>
      </c>
      <c r="Q48" s="8">
        <f t="shared" si="20"/>
        <v>31.5</v>
      </c>
      <c r="R48" s="8">
        <f t="shared" si="20"/>
        <v>31.5</v>
      </c>
      <c r="S48" s="8">
        <f>S50/8</f>
        <v>748.125</v>
      </c>
      <c r="T48" s="8">
        <f>S48</f>
        <v>748.125</v>
      </c>
      <c r="U48" s="8">
        <f t="shared" ref="U48:Z48" si="21">T48</f>
        <v>748.125</v>
      </c>
      <c r="V48" s="8">
        <f t="shared" si="21"/>
        <v>748.125</v>
      </c>
      <c r="W48" s="8">
        <f t="shared" si="21"/>
        <v>748.125</v>
      </c>
      <c r="X48" s="8">
        <f t="shared" si="21"/>
        <v>748.125</v>
      </c>
      <c r="Y48" s="8">
        <f t="shared" si="21"/>
        <v>748.125</v>
      </c>
      <c r="Z48" s="8">
        <f t="shared" si="21"/>
        <v>748.125</v>
      </c>
      <c r="AA48" s="8">
        <v>0</v>
      </c>
    </row>
    <row r="49" spans="1:27" s="8" customFormat="1" x14ac:dyDescent="0.25"/>
    <row r="50" spans="1:27" s="8" customFormat="1" x14ac:dyDescent="0.25">
      <c r="C50" s="8" t="s">
        <v>69</v>
      </c>
      <c r="D50" s="8">
        <f>B44</f>
        <v>6300</v>
      </c>
      <c r="E50" s="8">
        <f>D50-D48</f>
        <v>6300</v>
      </c>
      <c r="F50" s="8">
        <f t="shared" ref="F50:AA50" si="22">E50-E48</f>
        <v>6300</v>
      </c>
      <c r="G50" s="8">
        <f t="shared" si="22"/>
        <v>6300</v>
      </c>
      <c r="H50" s="8">
        <f t="shared" si="22"/>
        <v>6300</v>
      </c>
      <c r="I50" s="8">
        <f t="shared" si="22"/>
        <v>6300</v>
      </c>
      <c r="J50" s="8">
        <f t="shared" si="22"/>
        <v>6268.5</v>
      </c>
      <c r="K50" s="8">
        <f t="shared" si="22"/>
        <v>6237</v>
      </c>
      <c r="L50" s="8">
        <f t="shared" si="22"/>
        <v>6205.5</v>
      </c>
      <c r="M50" s="8">
        <f t="shared" si="22"/>
        <v>6174</v>
      </c>
      <c r="N50" s="8">
        <f t="shared" si="22"/>
        <v>6142.5</v>
      </c>
      <c r="O50" s="8">
        <f t="shared" si="22"/>
        <v>6111</v>
      </c>
      <c r="P50" s="8">
        <f t="shared" si="22"/>
        <v>6079.5</v>
      </c>
      <c r="Q50" s="8">
        <f t="shared" si="22"/>
        <v>6048</v>
      </c>
      <c r="R50" s="8">
        <f t="shared" si="22"/>
        <v>6016.5</v>
      </c>
      <c r="S50" s="8">
        <f t="shared" si="22"/>
        <v>5985</v>
      </c>
      <c r="T50" s="8">
        <f t="shared" si="22"/>
        <v>5236.875</v>
      </c>
      <c r="U50" s="8">
        <f t="shared" si="22"/>
        <v>4488.75</v>
      </c>
      <c r="V50" s="8">
        <f t="shared" si="22"/>
        <v>3740.625</v>
      </c>
      <c r="W50" s="8">
        <f t="shared" si="22"/>
        <v>2992.5</v>
      </c>
      <c r="X50" s="8">
        <f t="shared" si="22"/>
        <v>2244.375</v>
      </c>
      <c r="Y50" s="8">
        <f t="shared" si="22"/>
        <v>1496.25</v>
      </c>
      <c r="Z50" s="8">
        <f t="shared" si="22"/>
        <v>748.125</v>
      </c>
      <c r="AA50" s="8">
        <f t="shared" si="22"/>
        <v>0</v>
      </c>
    </row>
    <row r="51" spans="1:27" s="8" customFormat="1" x14ac:dyDescent="0.25">
      <c r="C51" s="8" t="s">
        <v>70</v>
      </c>
      <c r="D51" s="8">
        <v>0</v>
      </c>
      <c r="E51" s="8">
        <v>0</v>
      </c>
      <c r="F51" s="8">
        <f>F50*0.005</f>
        <v>31.5</v>
      </c>
      <c r="G51" s="8">
        <f>G50*0.01</f>
        <v>63</v>
      </c>
      <c r="H51" s="8">
        <f t="shared" ref="H51:T51" si="23">H50*0.01</f>
        <v>63</v>
      </c>
      <c r="I51" s="8">
        <f t="shared" si="23"/>
        <v>63</v>
      </c>
      <c r="J51" s="8">
        <f t="shared" si="23"/>
        <v>62.685000000000002</v>
      </c>
      <c r="K51" s="8">
        <f t="shared" si="23"/>
        <v>62.370000000000005</v>
      </c>
      <c r="L51" s="8">
        <f t="shared" si="23"/>
        <v>62.055</v>
      </c>
      <c r="M51" s="8">
        <f t="shared" si="23"/>
        <v>61.74</v>
      </c>
      <c r="N51" s="8">
        <f t="shared" si="23"/>
        <v>61.425000000000004</v>
      </c>
      <c r="O51" s="8">
        <f t="shared" si="23"/>
        <v>61.11</v>
      </c>
      <c r="P51" s="8">
        <f t="shared" si="23"/>
        <v>60.795000000000002</v>
      </c>
      <c r="Q51" s="8">
        <f t="shared" si="23"/>
        <v>60.480000000000004</v>
      </c>
      <c r="R51" s="8">
        <f t="shared" si="23"/>
        <v>60.164999999999999</v>
      </c>
      <c r="S51" s="8">
        <f t="shared" si="23"/>
        <v>59.85</v>
      </c>
      <c r="T51" s="8">
        <f t="shared" si="23"/>
        <v>52.368749999999999</v>
      </c>
      <c r="U51" s="8">
        <f>U50*0.025</f>
        <v>112.21875</v>
      </c>
      <c r="V51" s="8">
        <f t="shared" ref="V51:Z51" si="24">V50*0.025</f>
        <v>93.515625</v>
      </c>
      <c r="W51" s="8">
        <f t="shared" si="24"/>
        <v>74.8125</v>
      </c>
      <c r="X51" s="8">
        <f t="shared" si="24"/>
        <v>56.109375</v>
      </c>
      <c r="Y51" s="8">
        <f t="shared" si="24"/>
        <v>37.40625</v>
      </c>
      <c r="Z51" s="8">
        <f t="shared" si="24"/>
        <v>18.703125</v>
      </c>
    </row>
    <row r="52" spans="1:27" s="8" customFormat="1" x14ac:dyDescent="0.25"/>
    <row r="53" spans="1:27" s="8" customFormat="1" x14ac:dyDescent="0.25">
      <c r="A53" s="8" t="s">
        <v>14</v>
      </c>
      <c r="B53" s="39">
        <v>0.05</v>
      </c>
      <c r="C53" s="8" t="s">
        <v>293</v>
      </c>
      <c r="D53" s="8">
        <f>D48+D51</f>
        <v>0</v>
      </c>
      <c r="E53" s="8">
        <f t="shared" ref="E53:Z53" si="25">E48+E51</f>
        <v>0</v>
      </c>
      <c r="F53" s="8">
        <f t="shared" si="25"/>
        <v>31.5</v>
      </c>
      <c r="G53" s="8">
        <f t="shared" si="25"/>
        <v>63</v>
      </c>
      <c r="H53" s="8">
        <f t="shared" si="25"/>
        <v>63</v>
      </c>
      <c r="I53" s="8">
        <f t="shared" si="25"/>
        <v>94.5</v>
      </c>
      <c r="J53" s="8">
        <f t="shared" si="25"/>
        <v>94.185000000000002</v>
      </c>
      <c r="K53" s="8">
        <f t="shared" si="25"/>
        <v>93.87</v>
      </c>
      <c r="L53" s="8">
        <f t="shared" si="25"/>
        <v>93.555000000000007</v>
      </c>
      <c r="M53" s="8">
        <f t="shared" si="25"/>
        <v>93.240000000000009</v>
      </c>
      <c r="N53" s="8">
        <f t="shared" si="25"/>
        <v>92.925000000000011</v>
      </c>
      <c r="O53" s="8">
        <f t="shared" si="25"/>
        <v>92.61</v>
      </c>
      <c r="P53" s="8">
        <f t="shared" si="25"/>
        <v>92.295000000000002</v>
      </c>
      <c r="Q53" s="8">
        <f t="shared" si="25"/>
        <v>91.98</v>
      </c>
      <c r="R53" s="8">
        <f t="shared" si="25"/>
        <v>91.664999999999992</v>
      </c>
      <c r="S53" s="8">
        <f t="shared" si="25"/>
        <v>807.97500000000002</v>
      </c>
      <c r="T53" s="8">
        <f t="shared" si="25"/>
        <v>800.49374999999998</v>
      </c>
      <c r="U53" s="8">
        <f t="shared" si="25"/>
        <v>860.34375</v>
      </c>
      <c r="V53" s="8">
        <f t="shared" si="25"/>
        <v>841.640625</v>
      </c>
      <c r="W53" s="8">
        <f t="shared" si="25"/>
        <v>822.9375</v>
      </c>
      <c r="X53" s="8">
        <f t="shared" si="25"/>
        <v>804.234375</v>
      </c>
      <c r="Y53" s="8">
        <f t="shared" si="25"/>
        <v>785.53125</v>
      </c>
      <c r="Z53" s="8">
        <f t="shared" si="25"/>
        <v>766.828125</v>
      </c>
    </row>
    <row r="54" spans="1:27" s="8" customFormat="1" x14ac:dyDescent="0.25"/>
    <row r="55" spans="1:27" s="8" customFormat="1" x14ac:dyDescent="0.25">
      <c r="B55" s="8" t="s">
        <v>15</v>
      </c>
      <c r="C55" s="10">
        <f>NPV(B53,D53:Z53)</f>
        <v>3219.3064320631206</v>
      </c>
      <c r="F55" s="22"/>
    </row>
    <row r="56" spans="1:27" s="8" customFormat="1" x14ac:dyDescent="0.25">
      <c r="B56" s="8" t="s">
        <v>287</v>
      </c>
      <c r="C56" s="11">
        <f>C55/B44</f>
        <v>0.51100102096240008</v>
      </c>
    </row>
    <row r="57" spans="1:27" s="8" customFormat="1" x14ac:dyDescent="0.25"/>
    <row r="58" spans="1:27" s="8" customFormat="1" x14ac:dyDescent="0.25">
      <c r="A58" s="7" t="s">
        <v>295</v>
      </c>
    </row>
    <row r="59" spans="1:27" s="8" customFormat="1" x14ac:dyDescent="0.25">
      <c r="A59" s="7"/>
      <c r="D59" s="8">
        <v>2021</v>
      </c>
      <c r="E59" s="8">
        <f>D59+1</f>
        <v>2022</v>
      </c>
      <c r="F59" s="8">
        <f t="shared" ref="F59:J59" si="26">E59+1</f>
        <v>2023</v>
      </c>
      <c r="G59" s="8">
        <f t="shared" si="26"/>
        <v>2024</v>
      </c>
      <c r="H59" s="8">
        <f t="shared" si="26"/>
        <v>2025</v>
      </c>
      <c r="I59" s="8">
        <f t="shared" si="26"/>
        <v>2026</v>
      </c>
      <c r="J59" s="8">
        <f t="shared" si="26"/>
        <v>2027</v>
      </c>
      <c r="K59" s="8">
        <f>J59+1</f>
        <v>2028</v>
      </c>
      <c r="L59" s="8">
        <f>K59+1</f>
        <v>2029</v>
      </c>
      <c r="M59" s="8">
        <f>L59+1</f>
        <v>2030</v>
      </c>
      <c r="N59" s="8">
        <f t="shared" ref="N59:Q59" si="27">M59+1</f>
        <v>2031</v>
      </c>
      <c r="O59" s="8">
        <f t="shared" si="27"/>
        <v>2032</v>
      </c>
      <c r="P59" s="8">
        <f t="shared" si="27"/>
        <v>2033</v>
      </c>
      <c r="Q59" s="8">
        <f t="shared" si="27"/>
        <v>2034</v>
      </c>
      <c r="R59" s="8">
        <f>Q59+1</f>
        <v>2035</v>
      </c>
      <c r="S59" s="8">
        <f t="shared" ref="S59:U59" si="28">R59+1</f>
        <v>2036</v>
      </c>
      <c r="T59" s="8">
        <f t="shared" si="28"/>
        <v>2037</v>
      </c>
      <c r="U59" s="8">
        <f t="shared" si="28"/>
        <v>2038</v>
      </c>
    </row>
    <row r="60" spans="1:27" s="8" customFormat="1" x14ac:dyDescent="0.25">
      <c r="C60" s="8" t="s">
        <v>29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f>I48</f>
        <v>31.5</v>
      </c>
      <c r="J60" s="8">
        <f>I60</f>
        <v>31.5</v>
      </c>
      <c r="K60" s="8">
        <f t="shared" ref="K60:U60" si="29">J60</f>
        <v>31.5</v>
      </c>
      <c r="L60" s="8">
        <f t="shared" si="29"/>
        <v>31.5</v>
      </c>
      <c r="M60" s="8">
        <f t="shared" si="29"/>
        <v>31.5</v>
      </c>
      <c r="N60" s="8">
        <f>N62/8</f>
        <v>767.8125</v>
      </c>
      <c r="O60" s="8">
        <f t="shared" si="29"/>
        <v>767.8125</v>
      </c>
      <c r="P60" s="8">
        <f t="shared" si="29"/>
        <v>767.8125</v>
      </c>
      <c r="Q60" s="8">
        <f t="shared" si="29"/>
        <v>767.8125</v>
      </c>
      <c r="R60" s="8">
        <f t="shared" si="29"/>
        <v>767.8125</v>
      </c>
      <c r="S60" s="8">
        <f t="shared" si="29"/>
        <v>767.8125</v>
      </c>
      <c r="T60" s="8">
        <f t="shared" si="29"/>
        <v>767.8125</v>
      </c>
      <c r="U60" s="8">
        <f t="shared" si="29"/>
        <v>767.8125</v>
      </c>
    </row>
    <row r="61" spans="1:27" s="8" customFormat="1" x14ac:dyDescent="0.25"/>
    <row r="62" spans="1:27" s="8" customFormat="1" x14ac:dyDescent="0.25">
      <c r="C62" s="8" t="s">
        <v>69</v>
      </c>
      <c r="D62" s="8">
        <f>B44</f>
        <v>6300</v>
      </c>
      <c r="E62" s="8">
        <f>D62-D60</f>
        <v>6300</v>
      </c>
      <c r="F62" s="8">
        <f t="shared" ref="F62:U62" si="30">E62-E60</f>
        <v>6300</v>
      </c>
      <c r="G62" s="8">
        <f t="shared" si="30"/>
        <v>6300</v>
      </c>
      <c r="H62" s="8">
        <f t="shared" si="30"/>
        <v>6300</v>
      </c>
      <c r="I62" s="8">
        <f t="shared" si="30"/>
        <v>6300</v>
      </c>
      <c r="J62" s="8">
        <f t="shared" si="30"/>
        <v>6268.5</v>
      </c>
      <c r="K62" s="8">
        <f t="shared" si="30"/>
        <v>6237</v>
      </c>
      <c r="L62" s="8">
        <f t="shared" si="30"/>
        <v>6205.5</v>
      </c>
      <c r="M62" s="8">
        <f t="shared" si="30"/>
        <v>6174</v>
      </c>
      <c r="N62" s="8">
        <f t="shared" si="30"/>
        <v>6142.5</v>
      </c>
      <c r="O62" s="8">
        <f t="shared" si="30"/>
        <v>5374.6875</v>
      </c>
      <c r="P62" s="8">
        <f t="shared" si="30"/>
        <v>4606.875</v>
      </c>
      <c r="Q62" s="8">
        <f t="shared" si="30"/>
        <v>3839.0625</v>
      </c>
      <c r="R62" s="8">
        <f t="shared" si="30"/>
        <v>3071.25</v>
      </c>
      <c r="S62" s="8">
        <f t="shared" si="30"/>
        <v>2303.4375</v>
      </c>
      <c r="T62" s="8">
        <f t="shared" si="30"/>
        <v>1535.625</v>
      </c>
      <c r="U62" s="8">
        <f t="shared" si="30"/>
        <v>767.8125</v>
      </c>
    </row>
    <row r="63" spans="1:27" s="8" customFormat="1" x14ac:dyDescent="0.25">
      <c r="C63" s="8" t="s">
        <v>70</v>
      </c>
      <c r="D63" s="8">
        <v>0</v>
      </c>
      <c r="E63" s="8">
        <v>0</v>
      </c>
      <c r="F63" s="8">
        <f>F62*0.005</f>
        <v>31.5</v>
      </c>
      <c r="G63" s="8">
        <f>G62*0.01</f>
        <v>63</v>
      </c>
      <c r="H63" s="8">
        <f t="shared" ref="H63:I63" si="31">H62*0.01</f>
        <v>63</v>
      </c>
      <c r="I63" s="8">
        <f t="shared" si="31"/>
        <v>63</v>
      </c>
      <c r="J63" s="8">
        <f>J62*0.04</f>
        <v>250.74</v>
      </c>
      <c r="K63" s="8">
        <f t="shared" ref="K63:U63" si="32">K62*0.04</f>
        <v>249.48000000000002</v>
      </c>
      <c r="L63" s="8">
        <f t="shared" si="32"/>
        <v>248.22</v>
      </c>
      <c r="M63" s="8">
        <f t="shared" si="32"/>
        <v>246.96</v>
      </c>
      <c r="N63" s="8">
        <f t="shared" si="32"/>
        <v>245.70000000000002</v>
      </c>
      <c r="O63" s="8">
        <f t="shared" si="32"/>
        <v>214.98750000000001</v>
      </c>
      <c r="P63" s="8">
        <f t="shared" si="32"/>
        <v>184.27500000000001</v>
      </c>
      <c r="Q63" s="8">
        <f t="shared" si="32"/>
        <v>153.5625</v>
      </c>
      <c r="R63" s="8">
        <f t="shared" si="32"/>
        <v>122.85000000000001</v>
      </c>
      <c r="S63" s="8">
        <f t="shared" si="32"/>
        <v>92.137500000000003</v>
      </c>
      <c r="T63" s="8">
        <f t="shared" si="32"/>
        <v>61.425000000000004</v>
      </c>
      <c r="U63" s="8">
        <f t="shared" si="32"/>
        <v>30.712500000000002</v>
      </c>
    </row>
    <row r="64" spans="1:27" s="8" customFormat="1" x14ac:dyDescent="0.25"/>
    <row r="65" spans="1:50" s="8" customFormat="1" x14ac:dyDescent="0.25">
      <c r="A65" s="8" t="s">
        <v>14</v>
      </c>
      <c r="B65" s="39">
        <v>0.05</v>
      </c>
      <c r="C65" s="8" t="s">
        <v>293</v>
      </c>
      <c r="D65" s="8">
        <f>D60+D63</f>
        <v>0</v>
      </c>
      <c r="E65" s="8">
        <f t="shared" ref="E65:U65" si="33">E60+E63</f>
        <v>0</v>
      </c>
      <c r="F65" s="8">
        <f t="shared" si="33"/>
        <v>31.5</v>
      </c>
      <c r="G65" s="8">
        <f t="shared" si="33"/>
        <v>63</v>
      </c>
      <c r="H65" s="8">
        <f t="shared" si="33"/>
        <v>63</v>
      </c>
      <c r="I65" s="8">
        <f t="shared" si="33"/>
        <v>94.5</v>
      </c>
      <c r="J65" s="8">
        <f t="shared" si="33"/>
        <v>282.24</v>
      </c>
      <c r="K65" s="8">
        <f t="shared" si="33"/>
        <v>280.98</v>
      </c>
      <c r="L65" s="8">
        <f t="shared" si="33"/>
        <v>279.72000000000003</v>
      </c>
      <c r="M65" s="8">
        <f t="shared" si="33"/>
        <v>278.46000000000004</v>
      </c>
      <c r="N65" s="8">
        <f t="shared" si="33"/>
        <v>1013.5125</v>
      </c>
      <c r="O65" s="8">
        <f t="shared" si="33"/>
        <v>982.8</v>
      </c>
      <c r="P65" s="8">
        <f t="shared" si="33"/>
        <v>952.08749999999998</v>
      </c>
      <c r="Q65" s="8">
        <f t="shared" si="33"/>
        <v>921.375</v>
      </c>
      <c r="R65" s="8">
        <f t="shared" si="33"/>
        <v>890.66250000000002</v>
      </c>
      <c r="S65" s="8">
        <f t="shared" si="33"/>
        <v>859.95</v>
      </c>
      <c r="T65" s="8">
        <f t="shared" si="33"/>
        <v>829.23749999999995</v>
      </c>
      <c r="U65" s="8">
        <f t="shared" si="33"/>
        <v>798.52499999999998</v>
      </c>
    </row>
    <row r="66" spans="1:50" s="8" customFormat="1" x14ac:dyDescent="0.25"/>
    <row r="67" spans="1:50" s="8" customFormat="1" x14ac:dyDescent="0.25">
      <c r="B67" s="8" t="s">
        <v>15</v>
      </c>
      <c r="C67" s="10">
        <f>NPV(B65,D65:U65)</f>
        <v>4567.0249534940413</v>
      </c>
      <c r="F67" s="22"/>
    </row>
    <row r="68" spans="1:50" s="8" customFormat="1" x14ac:dyDescent="0.25">
      <c r="B68" s="8" t="s">
        <v>287</v>
      </c>
      <c r="C68" s="11">
        <f>C67/B44</f>
        <v>0.72492459579270496</v>
      </c>
    </row>
    <row r="69" spans="1:50" s="8" customFormat="1" x14ac:dyDescent="0.25">
      <c r="C69" s="11"/>
    </row>
    <row r="70" spans="1:50" s="8" customFormat="1" x14ac:dyDescent="0.25">
      <c r="A70" s="8" t="s">
        <v>208</v>
      </c>
      <c r="B70" s="11"/>
      <c r="C70" s="11"/>
    </row>
    <row r="71" spans="1:50" s="8" customFormat="1" x14ac:dyDescent="0.25">
      <c r="A71" s="8" t="s">
        <v>165</v>
      </c>
      <c r="B71" s="39">
        <f>(C30-C56)/C56</f>
        <v>0.22816377212212327</v>
      </c>
      <c r="C71" s="11"/>
    </row>
    <row r="72" spans="1:50" s="8" customFormat="1" x14ac:dyDescent="0.25">
      <c r="A72" s="8" t="s">
        <v>295</v>
      </c>
      <c r="B72" s="39">
        <f>(C41-C68)/C68</f>
        <v>0.30640863653131323</v>
      </c>
      <c r="C72" s="11"/>
    </row>
    <row r="74" spans="1:50" s="13" customFormat="1" x14ac:dyDescent="0.25">
      <c r="A74" s="12" t="s">
        <v>32</v>
      </c>
    </row>
    <row r="75" spans="1:50" s="13" customFormat="1" x14ac:dyDescent="0.25"/>
    <row r="76" spans="1:50" s="13" customFormat="1" x14ac:dyDescent="0.25">
      <c r="A76" s="12"/>
      <c r="H76" s="13">
        <v>2012</v>
      </c>
      <c r="I76" s="13">
        <f>H76+1</f>
        <v>2013</v>
      </c>
      <c r="J76" s="13">
        <f t="shared" ref="J76:AX76" si="34">I76+1</f>
        <v>2014</v>
      </c>
      <c r="K76" s="13">
        <f t="shared" si="34"/>
        <v>2015</v>
      </c>
      <c r="L76" s="13">
        <f t="shared" si="34"/>
        <v>2016</v>
      </c>
      <c r="M76" s="13">
        <f t="shared" si="34"/>
        <v>2017</v>
      </c>
      <c r="N76" s="13">
        <f t="shared" si="34"/>
        <v>2018</v>
      </c>
      <c r="O76" s="13">
        <f t="shared" si="34"/>
        <v>2019</v>
      </c>
      <c r="P76" s="13">
        <f t="shared" si="34"/>
        <v>2020</v>
      </c>
      <c r="Q76" s="13">
        <f t="shared" si="34"/>
        <v>2021</v>
      </c>
      <c r="R76" s="13">
        <f t="shared" si="34"/>
        <v>2022</v>
      </c>
      <c r="S76" s="13">
        <f t="shared" si="34"/>
        <v>2023</v>
      </c>
      <c r="T76" s="13">
        <f t="shared" si="34"/>
        <v>2024</v>
      </c>
      <c r="U76" s="13">
        <f t="shared" si="34"/>
        <v>2025</v>
      </c>
      <c r="V76" s="13">
        <f t="shared" si="34"/>
        <v>2026</v>
      </c>
      <c r="W76" s="13">
        <f t="shared" si="34"/>
        <v>2027</v>
      </c>
      <c r="X76" s="13">
        <f t="shared" si="34"/>
        <v>2028</v>
      </c>
      <c r="Y76" s="13">
        <f t="shared" si="34"/>
        <v>2029</v>
      </c>
      <c r="Z76" s="13">
        <f t="shared" si="34"/>
        <v>2030</v>
      </c>
      <c r="AA76" s="13">
        <f t="shared" si="34"/>
        <v>2031</v>
      </c>
      <c r="AB76" s="13">
        <f t="shared" si="34"/>
        <v>2032</v>
      </c>
      <c r="AC76" s="13">
        <f t="shared" si="34"/>
        <v>2033</v>
      </c>
      <c r="AD76" s="13">
        <f t="shared" si="34"/>
        <v>2034</v>
      </c>
      <c r="AE76" s="13">
        <f t="shared" si="34"/>
        <v>2035</v>
      </c>
      <c r="AF76" s="13">
        <f t="shared" si="34"/>
        <v>2036</v>
      </c>
      <c r="AG76" s="13">
        <f t="shared" si="34"/>
        <v>2037</v>
      </c>
      <c r="AH76" s="13">
        <f t="shared" si="34"/>
        <v>2038</v>
      </c>
      <c r="AI76" s="13">
        <f t="shared" si="34"/>
        <v>2039</v>
      </c>
      <c r="AJ76" s="13">
        <f t="shared" si="34"/>
        <v>2040</v>
      </c>
      <c r="AK76" s="13">
        <f t="shared" si="34"/>
        <v>2041</v>
      </c>
      <c r="AL76" s="13">
        <f t="shared" si="34"/>
        <v>2042</v>
      </c>
      <c r="AM76" s="13">
        <f t="shared" si="34"/>
        <v>2043</v>
      </c>
      <c r="AN76" s="13">
        <f t="shared" si="34"/>
        <v>2044</v>
      </c>
      <c r="AO76" s="13">
        <f t="shared" si="34"/>
        <v>2045</v>
      </c>
      <c r="AP76" s="13">
        <f t="shared" si="34"/>
        <v>2046</v>
      </c>
      <c r="AQ76" s="13">
        <f t="shared" si="34"/>
        <v>2047</v>
      </c>
      <c r="AR76" s="13">
        <f t="shared" si="34"/>
        <v>2048</v>
      </c>
      <c r="AS76" s="13">
        <f t="shared" si="34"/>
        <v>2049</v>
      </c>
      <c r="AT76" s="13">
        <f t="shared" si="34"/>
        <v>2050</v>
      </c>
      <c r="AU76" s="13">
        <f t="shared" si="34"/>
        <v>2051</v>
      </c>
      <c r="AV76" s="13">
        <f t="shared" si="34"/>
        <v>2052</v>
      </c>
      <c r="AW76" s="13">
        <f t="shared" si="34"/>
        <v>2053</v>
      </c>
      <c r="AX76" s="13">
        <f t="shared" si="34"/>
        <v>2054</v>
      </c>
    </row>
    <row r="77" spans="1:50" s="13" customFormat="1" x14ac:dyDescent="0.25">
      <c r="A77" s="12" t="s">
        <v>90</v>
      </c>
      <c r="T77" s="13">
        <v>445.5</v>
      </c>
      <c r="U77" s="13">
        <v>241.89249999999998</v>
      </c>
      <c r="V77" s="13">
        <v>364.86500000000001</v>
      </c>
      <c r="W77" s="13">
        <v>348.2475</v>
      </c>
      <c r="X77" s="13">
        <v>170.63</v>
      </c>
      <c r="Y77" s="13">
        <v>44.269999999999996</v>
      </c>
      <c r="Z77" s="13">
        <v>43.752499999999998</v>
      </c>
      <c r="AA77" s="13">
        <v>43.234999999999999</v>
      </c>
      <c r="AB77" s="13">
        <v>277.92500000000001</v>
      </c>
      <c r="AC77" s="13">
        <v>257.22500000000002</v>
      </c>
      <c r="AD77" s="13">
        <v>6.75</v>
      </c>
      <c r="AE77" s="13">
        <v>6.75</v>
      </c>
      <c r="AF77" s="13">
        <v>6.75</v>
      </c>
      <c r="AG77" s="13">
        <v>6.75</v>
      </c>
      <c r="AH77" s="13">
        <v>6.75</v>
      </c>
      <c r="AI77" s="13">
        <v>6.75</v>
      </c>
      <c r="AJ77" s="13">
        <v>6.75</v>
      </c>
      <c r="AK77" s="13">
        <v>6.75</v>
      </c>
      <c r="AL77" s="13">
        <v>6.75</v>
      </c>
      <c r="AM77" s="13">
        <v>6.75</v>
      </c>
      <c r="AN77" s="13">
        <v>6.75</v>
      </c>
      <c r="AO77" s="13">
        <v>6.75</v>
      </c>
      <c r="AP77" s="13">
        <v>6.75</v>
      </c>
      <c r="AQ77" s="13">
        <v>6.75</v>
      </c>
      <c r="AR77" s="13">
        <v>6.75</v>
      </c>
      <c r="AS77" s="13">
        <v>6.75</v>
      </c>
      <c r="AT77" s="13">
        <v>6.75</v>
      </c>
      <c r="AU77" s="13">
        <v>385.08</v>
      </c>
      <c r="AV77" s="13">
        <v>385.08</v>
      </c>
      <c r="AW77" s="13">
        <v>383.18834999999996</v>
      </c>
    </row>
    <row r="78" spans="1:50" s="13" customFormat="1" x14ac:dyDescent="0.25">
      <c r="A78" s="12" t="s">
        <v>254</v>
      </c>
      <c r="T78" s="13">
        <v>445.5</v>
      </c>
      <c r="U78" s="13">
        <v>241.89249999999998</v>
      </c>
      <c r="V78" s="13">
        <v>459.36500000000001</v>
      </c>
      <c r="W78" s="13">
        <v>442.7475</v>
      </c>
      <c r="X78" s="13">
        <v>265.13</v>
      </c>
      <c r="Y78" s="13">
        <v>138.76999999999998</v>
      </c>
      <c r="Z78" s="13">
        <v>138.2525</v>
      </c>
      <c r="AA78" s="13">
        <v>137.73500000000001</v>
      </c>
      <c r="AB78" s="13">
        <v>709.92499999999995</v>
      </c>
      <c r="AC78" s="13">
        <v>689.22500000000002</v>
      </c>
      <c r="AD78" s="13">
        <v>413.4375</v>
      </c>
      <c r="AE78" s="13">
        <v>388.125</v>
      </c>
    </row>
    <row r="79" spans="1:50" s="13" customFormat="1" x14ac:dyDescent="0.25"/>
    <row r="80" spans="1:50" s="13" customFormat="1" x14ac:dyDescent="0.25">
      <c r="A80" s="12" t="s">
        <v>255</v>
      </c>
    </row>
    <row r="81" spans="1:49" s="13" customFormat="1" x14ac:dyDescent="0.25">
      <c r="B81" s="13" t="s">
        <v>92</v>
      </c>
      <c r="C81" s="13" t="s">
        <v>35</v>
      </c>
      <c r="D81" s="13" t="s">
        <v>94</v>
      </c>
      <c r="E81" s="13" t="s">
        <v>36</v>
      </c>
      <c r="F81" s="13" t="s">
        <v>95</v>
      </c>
      <c r="G81" s="13" t="s">
        <v>14</v>
      </c>
      <c r="H81" s="13">
        <v>2012</v>
      </c>
      <c r="I81" s="13">
        <f>H81+1</f>
        <v>2013</v>
      </c>
      <c r="J81" s="13">
        <f t="shared" ref="J81:AW81" si="35">I81+1</f>
        <v>2014</v>
      </c>
      <c r="K81" s="13">
        <f t="shared" si="35"/>
        <v>2015</v>
      </c>
      <c r="L81" s="13">
        <f t="shared" si="35"/>
        <v>2016</v>
      </c>
      <c r="M81" s="13">
        <f t="shared" si="35"/>
        <v>2017</v>
      </c>
      <c r="N81" s="13">
        <f t="shared" si="35"/>
        <v>2018</v>
      </c>
      <c r="O81" s="13">
        <f t="shared" si="35"/>
        <v>2019</v>
      </c>
      <c r="P81" s="13">
        <f t="shared" si="35"/>
        <v>2020</v>
      </c>
      <c r="Q81" s="13">
        <f t="shared" si="35"/>
        <v>2021</v>
      </c>
      <c r="R81" s="13">
        <f t="shared" si="35"/>
        <v>2022</v>
      </c>
      <c r="S81" s="13">
        <f t="shared" si="35"/>
        <v>2023</v>
      </c>
      <c r="T81" s="13">
        <f t="shared" si="35"/>
        <v>2024</v>
      </c>
      <c r="U81" s="13">
        <f t="shared" si="35"/>
        <v>2025</v>
      </c>
      <c r="V81" s="13">
        <f t="shared" si="35"/>
        <v>2026</v>
      </c>
      <c r="W81" s="13">
        <f t="shared" si="35"/>
        <v>2027</v>
      </c>
      <c r="X81" s="13">
        <f t="shared" si="35"/>
        <v>2028</v>
      </c>
      <c r="Y81" s="13">
        <f t="shared" si="35"/>
        <v>2029</v>
      </c>
      <c r="Z81" s="13">
        <f t="shared" si="35"/>
        <v>2030</v>
      </c>
      <c r="AA81" s="13">
        <f t="shared" si="35"/>
        <v>2031</v>
      </c>
      <c r="AB81" s="13">
        <f t="shared" si="35"/>
        <v>2032</v>
      </c>
      <c r="AC81" s="13">
        <f t="shared" si="35"/>
        <v>2033</v>
      </c>
      <c r="AD81" s="13">
        <f t="shared" si="35"/>
        <v>2034</v>
      </c>
      <c r="AE81" s="13">
        <f t="shared" si="35"/>
        <v>2035</v>
      </c>
      <c r="AF81" s="13">
        <f t="shared" si="35"/>
        <v>2036</v>
      </c>
      <c r="AG81" s="13">
        <f t="shared" si="35"/>
        <v>2037</v>
      </c>
      <c r="AH81" s="13">
        <f t="shared" si="35"/>
        <v>2038</v>
      </c>
      <c r="AI81" s="13">
        <f t="shared" si="35"/>
        <v>2039</v>
      </c>
      <c r="AJ81" s="13">
        <f t="shared" si="35"/>
        <v>2040</v>
      </c>
      <c r="AK81" s="13">
        <f t="shared" si="35"/>
        <v>2041</v>
      </c>
      <c r="AL81" s="13">
        <f t="shared" si="35"/>
        <v>2042</v>
      </c>
      <c r="AM81" s="13">
        <f t="shared" si="35"/>
        <v>2043</v>
      </c>
      <c r="AN81" s="13">
        <f t="shared" si="35"/>
        <v>2044</v>
      </c>
      <c r="AO81" s="13">
        <f t="shared" si="35"/>
        <v>2045</v>
      </c>
      <c r="AP81" s="13">
        <f t="shared" si="35"/>
        <v>2046</v>
      </c>
      <c r="AQ81" s="13">
        <f t="shared" si="35"/>
        <v>2047</v>
      </c>
      <c r="AR81" s="13">
        <f t="shared" si="35"/>
        <v>2048</v>
      </c>
      <c r="AS81" s="13">
        <f t="shared" si="35"/>
        <v>2049</v>
      </c>
      <c r="AT81" s="13">
        <f t="shared" si="35"/>
        <v>2050</v>
      </c>
      <c r="AU81" s="13">
        <f t="shared" si="35"/>
        <v>2051</v>
      </c>
      <c r="AV81" s="13">
        <f t="shared" si="35"/>
        <v>2052</v>
      </c>
      <c r="AW81" s="13">
        <f t="shared" si="35"/>
        <v>2053</v>
      </c>
    </row>
    <row r="82" spans="1:49" s="13" customFormat="1" x14ac:dyDescent="0.25">
      <c r="A82" s="13" t="s">
        <v>98</v>
      </c>
      <c r="B82" s="23" t="s">
        <v>296</v>
      </c>
      <c r="C82" s="13">
        <v>750</v>
      </c>
      <c r="D82" s="13">
        <v>5.375</v>
      </c>
      <c r="E82" s="13" t="s">
        <v>297</v>
      </c>
      <c r="F82" s="13">
        <f>C82/C106</f>
        <v>0.25</v>
      </c>
      <c r="G82" s="13">
        <v>0.03</v>
      </c>
      <c r="I82" s="13">
        <f>C82*(D82/100)</f>
        <v>40.3125</v>
      </c>
      <c r="J82" s="13">
        <f>I82</f>
        <v>40.3125</v>
      </c>
      <c r="K82" s="13">
        <f t="shared" ref="K82:P82" si="36">J82</f>
        <v>40.3125</v>
      </c>
      <c r="L82" s="13">
        <f t="shared" si="36"/>
        <v>40.3125</v>
      </c>
      <c r="M82" s="13">
        <f t="shared" si="36"/>
        <v>40.3125</v>
      </c>
      <c r="N82" s="13">
        <f t="shared" si="36"/>
        <v>40.3125</v>
      </c>
      <c r="O82" s="13">
        <f t="shared" si="36"/>
        <v>40.3125</v>
      </c>
      <c r="P82" s="13">
        <f t="shared" si="36"/>
        <v>40.3125</v>
      </c>
      <c r="Q82" s="13">
        <v>0</v>
      </c>
      <c r="R82" s="13">
        <v>0</v>
      </c>
      <c r="S82" s="13">
        <v>0</v>
      </c>
      <c r="T82" s="13">
        <f>T77*0.25</f>
        <v>111.375</v>
      </c>
      <c r="U82" s="13">
        <f t="shared" ref="U82:AW82" si="37">U77*0.25</f>
        <v>60.473124999999996</v>
      </c>
      <c r="V82" s="13">
        <f t="shared" si="37"/>
        <v>91.216250000000002</v>
      </c>
      <c r="W82" s="13">
        <f t="shared" si="37"/>
        <v>87.061875000000001</v>
      </c>
      <c r="X82" s="13">
        <f t="shared" si="37"/>
        <v>42.657499999999999</v>
      </c>
      <c r="Y82" s="13">
        <f t="shared" si="37"/>
        <v>11.067499999999999</v>
      </c>
      <c r="Z82" s="13">
        <f t="shared" si="37"/>
        <v>10.938124999999999</v>
      </c>
      <c r="AA82" s="13">
        <f t="shared" si="37"/>
        <v>10.80875</v>
      </c>
      <c r="AB82" s="13">
        <f t="shared" si="37"/>
        <v>69.481250000000003</v>
      </c>
      <c r="AC82" s="13">
        <f t="shared" si="37"/>
        <v>64.306250000000006</v>
      </c>
      <c r="AD82" s="13">
        <f t="shared" si="37"/>
        <v>1.6875</v>
      </c>
      <c r="AE82" s="13">
        <f t="shared" si="37"/>
        <v>1.6875</v>
      </c>
      <c r="AF82" s="13">
        <f t="shared" si="37"/>
        <v>1.6875</v>
      </c>
      <c r="AG82" s="13">
        <f t="shared" si="37"/>
        <v>1.6875</v>
      </c>
      <c r="AH82" s="13">
        <f t="shared" si="37"/>
        <v>1.6875</v>
      </c>
      <c r="AI82" s="13">
        <f t="shared" si="37"/>
        <v>1.6875</v>
      </c>
      <c r="AJ82" s="13">
        <f t="shared" si="37"/>
        <v>1.6875</v>
      </c>
      <c r="AK82" s="13">
        <f t="shared" si="37"/>
        <v>1.6875</v>
      </c>
      <c r="AL82" s="13">
        <f t="shared" si="37"/>
        <v>1.6875</v>
      </c>
      <c r="AM82" s="13">
        <f t="shared" si="37"/>
        <v>1.6875</v>
      </c>
      <c r="AN82" s="13">
        <f t="shared" si="37"/>
        <v>1.6875</v>
      </c>
      <c r="AO82" s="13">
        <f t="shared" si="37"/>
        <v>1.6875</v>
      </c>
      <c r="AP82" s="13">
        <f t="shared" si="37"/>
        <v>1.6875</v>
      </c>
      <c r="AQ82" s="13">
        <f t="shared" si="37"/>
        <v>1.6875</v>
      </c>
      <c r="AR82" s="13">
        <f t="shared" si="37"/>
        <v>1.6875</v>
      </c>
      <c r="AS82" s="13">
        <f t="shared" si="37"/>
        <v>1.6875</v>
      </c>
      <c r="AT82" s="13">
        <f t="shared" si="37"/>
        <v>1.6875</v>
      </c>
      <c r="AU82" s="13">
        <f t="shared" si="37"/>
        <v>96.27</v>
      </c>
      <c r="AV82" s="13">
        <f t="shared" si="37"/>
        <v>96.27</v>
      </c>
      <c r="AW82" s="13">
        <f t="shared" si="37"/>
        <v>95.797087499999989</v>
      </c>
    </row>
    <row r="83" spans="1:49" s="13" customFormat="1" x14ac:dyDescent="0.25">
      <c r="A83" s="13" t="s">
        <v>257</v>
      </c>
      <c r="B83" s="14">
        <f>NPV(G82,I82:AW82)</f>
        <v>737.73376457789914</v>
      </c>
    </row>
    <row r="84" spans="1:49" s="13" customFormat="1" x14ac:dyDescent="0.25">
      <c r="A84" s="13" t="s">
        <v>298</v>
      </c>
      <c r="B84" s="23" t="s">
        <v>296</v>
      </c>
      <c r="C84" s="13">
        <v>750</v>
      </c>
      <c r="D84" s="13">
        <v>5.375</v>
      </c>
      <c r="E84" s="13" t="s">
        <v>297</v>
      </c>
      <c r="F84" s="13">
        <v>0.25</v>
      </c>
      <c r="G84" s="13">
        <v>2.5000000000000001E-2</v>
      </c>
      <c r="I84" s="13">
        <f t="shared" ref="I84:S84" si="38">I82</f>
        <v>40.3125</v>
      </c>
      <c r="J84" s="13">
        <f t="shared" si="38"/>
        <v>40.3125</v>
      </c>
      <c r="K84" s="13">
        <f t="shared" si="38"/>
        <v>40.3125</v>
      </c>
      <c r="L84" s="13">
        <f t="shared" si="38"/>
        <v>40.3125</v>
      </c>
      <c r="M84" s="13">
        <f t="shared" si="38"/>
        <v>40.3125</v>
      </c>
      <c r="N84" s="13">
        <f t="shared" si="38"/>
        <v>40.3125</v>
      </c>
      <c r="O84" s="13">
        <f t="shared" si="38"/>
        <v>40.3125</v>
      </c>
      <c r="P84" s="13">
        <f t="shared" si="38"/>
        <v>40.3125</v>
      </c>
      <c r="Q84" s="13">
        <f t="shared" si="38"/>
        <v>0</v>
      </c>
      <c r="R84" s="13">
        <f t="shared" si="38"/>
        <v>0</v>
      </c>
      <c r="S84" s="13">
        <f t="shared" si="38"/>
        <v>0</v>
      </c>
      <c r="T84" s="13">
        <f t="shared" ref="T84:AE84" si="39">T78*0.25</f>
        <v>111.375</v>
      </c>
      <c r="U84" s="13">
        <f t="shared" si="39"/>
        <v>60.473124999999996</v>
      </c>
      <c r="V84" s="13">
        <f t="shared" si="39"/>
        <v>114.84125</v>
      </c>
      <c r="W84" s="13">
        <f t="shared" si="39"/>
        <v>110.686875</v>
      </c>
      <c r="X84" s="13">
        <f t="shared" si="39"/>
        <v>66.282499999999999</v>
      </c>
      <c r="Y84" s="13">
        <f t="shared" si="39"/>
        <v>34.692499999999995</v>
      </c>
      <c r="Z84" s="13">
        <f t="shared" si="39"/>
        <v>34.563124999999999</v>
      </c>
      <c r="AA84" s="13">
        <f t="shared" si="39"/>
        <v>34.433750000000003</v>
      </c>
      <c r="AB84" s="13">
        <f t="shared" si="39"/>
        <v>177.48124999999999</v>
      </c>
      <c r="AC84" s="13">
        <f t="shared" si="39"/>
        <v>172.30625000000001</v>
      </c>
      <c r="AD84" s="13">
        <f t="shared" si="39"/>
        <v>103.359375</v>
      </c>
      <c r="AE84" s="13">
        <f t="shared" si="39"/>
        <v>97.03125</v>
      </c>
    </row>
    <row r="85" spans="1:49" s="13" customFormat="1" x14ac:dyDescent="0.25">
      <c r="A85" s="13" t="s">
        <v>299</v>
      </c>
      <c r="B85" s="14">
        <f>NPV(G84,I84:AE84)</f>
        <v>1010.5047040607822</v>
      </c>
    </row>
    <row r="86" spans="1:49" s="13" customFormat="1" x14ac:dyDescent="0.25">
      <c r="B86" s="14"/>
    </row>
    <row r="87" spans="1:49" s="13" customFormat="1" x14ac:dyDescent="0.25">
      <c r="A87" s="13" t="s">
        <v>259</v>
      </c>
      <c r="B87" s="14">
        <f>B83-C82</f>
        <v>-12.266235422100863</v>
      </c>
    </row>
    <row r="88" spans="1:49" s="13" customFormat="1" x14ac:dyDescent="0.25">
      <c r="A88" s="13" t="s">
        <v>260</v>
      </c>
      <c r="B88" s="14">
        <f>B85-C84</f>
        <v>260.50470406078216</v>
      </c>
    </row>
    <row r="89" spans="1:49" s="13" customFormat="1" x14ac:dyDescent="0.25">
      <c r="B89" s="14"/>
    </row>
    <row r="90" spans="1:49" s="13" customFormat="1" x14ac:dyDescent="0.25">
      <c r="A90" s="13" t="s">
        <v>101</v>
      </c>
      <c r="B90" s="24" t="s">
        <v>300</v>
      </c>
      <c r="C90" s="13">
        <v>1000</v>
      </c>
      <c r="D90" s="13">
        <v>8.5</v>
      </c>
      <c r="E90" s="13" t="s">
        <v>301</v>
      </c>
      <c r="F90" s="13">
        <f>C90/C106</f>
        <v>0.33333333333333331</v>
      </c>
      <c r="G90" s="13">
        <v>3.5000000000000003E-2</v>
      </c>
      <c r="J90" s="13">
        <f>(C90*(D90/100))/2</f>
        <v>42.5</v>
      </c>
      <c r="K90" s="13">
        <f>C90*(D90/100)</f>
        <v>85</v>
      </c>
      <c r="L90" s="13">
        <f>K90</f>
        <v>85</v>
      </c>
      <c r="M90" s="13">
        <f t="shared" ref="M90:P90" si="40">L90</f>
        <v>85</v>
      </c>
      <c r="N90" s="13">
        <f t="shared" si="40"/>
        <v>85</v>
      </c>
      <c r="O90" s="13">
        <f t="shared" si="40"/>
        <v>85</v>
      </c>
      <c r="P90" s="13">
        <f t="shared" si="40"/>
        <v>85</v>
      </c>
      <c r="Q90" s="13">
        <v>0</v>
      </c>
      <c r="R90" s="13">
        <v>0</v>
      </c>
      <c r="S90" s="13">
        <v>0</v>
      </c>
      <c r="T90" s="13">
        <f t="shared" ref="T90:AW90" si="41">T77*0.333333</f>
        <v>148.49985150000001</v>
      </c>
      <c r="U90" s="13">
        <f t="shared" si="41"/>
        <v>80.63075270249999</v>
      </c>
      <c r="V90" s="13">
        <f t="shared" si="41"/>
        <v>121.621545045</v>
      </c>
      <c r="W90" s="13">
        <f t="shared" si="41"/>
        <v>116.0823839175</v>
      </c>
      <c r="X90" s="13">
        <f t="shared" si="41"/>
        <v>56.876609789999996</v>
      </c>
      <c r="Y90" s="13">
        <f t="shared" si="41"/>
        <v>14.756651909999999</v>
      </c>
      <c r="Z90" s="13">
        <f t="shared" si="41"/>
        <v>14.584152082499999</v>
      </c>
      <c r="AA90" s="13">
        <f t="shared" si="41"/>
        <v>14.411652255</v>
      </c>
      <c r="AB90" s="13">
        <f t="shared" si="41"/>
        <v>92.641574024999997</v>
      </c>
      <c r="AC90" s="13">
        <f t="shared" si="41"/>
        <v>85.741580925000008</v>
      </c>
      <c r="AD90" s="13">
        <f t="shared" si="41"/>
        <v>2.2499977499999999</v>
      </c>
      <c r="AE90" s="13">
        <f t="shared" si="41"/>
        <v>2.2499977499999999</v>
      </c>
      <c r="AF90" s="13">
        <f t="shared" si="41"/>
        <v>2.2499977499999999</v>
      </c>
      <c r="AG90" s="13">
        <f t="shared" si="41"/>
        <v>2.2499977499999999</v>
      </c>
      <c r="AH90" s="13">
        <f t="shared" si="41"/>
        <v>2.2499977499999999</v>
      </c>
      <c r="AI90" s="13">
        <f t="shared" si="41"/>
        <v>2.2499977499999999</v>
      </c>
      <c r="AJ90" s="13">
        <f t="shared" si="41"/>
        <v>2.2499977499999999</v>
      </c>
      <c r="AK90" s="13">
        <f t="shared" si="41"/>
        <v>2.2499977499999999</v>
      </c>
      <c r="AL90" s="13">
        <f t="shared" si="41"/>
        <v>2.2499977499999999</v>
      </c>
      <c r="AM90" s="13">
        <f t="shared" si="41"/>
        <v>2.2499977499999999</v>
      </c>
      <c r="AN90" s="13">
        <f t="shared" si="41"/>
        <v>2.2499977499999999</v>
      </c>
      <c r="AO90" s="13">
        <f t="shared" si="41"/>
        <v>2.2499977499999999</v>
      </c>
      <c r="AP90" s="13">
        <f t="shared" si="41"/>
        <v>2.2499977499999999</v>
      </c>
      <c r="AQ90" s="13">
        <f t="shared" si="41"/>
        <v>2.2499977499999999</v>
      </c>
      <c r="AR90" s="13">
        <f t="shared" si="41"/>
        <v>2.2499977499999999</v>
      </c>
      <c r="AS90" s="13">
        <f t="shared" si="41"/>
        <v>2.2499977499999999</v>
      </c>
      <c r="AT90" s="13">
        <f t="shared" si="41"/>
        <v>2.2499977499999999</v>
      </c>
      <c r="AU90" s="13">
        <f t="shared" si="41"/>
        <v>128.35987163999999</v>
      </c>
      <c r="AV90" s="13">
        <f t="shared" si="41"/>
        <v>128.35987163999999</v>
      </c>
      <c r="AW90" s="13">
        <f t="shared" si="41"/>
        <v>127.72932227054999</v>
      </c>
    </row>
    <row r="91" spans="1:49" s="13" customFormat="1" x14ac:dyDescent="0.25">
      <c r="A91" s="13" t="s">
        <v>257</v>
      </c>
      <c r="B91" s="14">
        <f>NPV(G90,J90:AW90)</f>
        <v>1047.7008216874683</v>
      </c>
    </row>
    <row r="92" spans="1:49" s="13" customFormat="1" x14ac:dyDescent="0.25">
      <c r="A92" s="13" t="s">
        <v>302</v>
      </c>
      <c r="B92" s="24" t="s">
        <v>300</v>
      </c>
      <c r="C92" s="13">
        <v>1000</v>
      </c>
      <c r="D92" s="13">
        <v>8.5</v>
      </c>
      <c r="E92" s="13" t="s">
        <v>301</v>
      </c>
      <c r="F92" s="13">
        <f>F90</f>
        <v>0.33333333333333331</v>
      </c>
      <c r="G92" s="13">
        <v>3.2000000000000001E-2</v>
      </c>
      <c r="J92" s="13">
        <f>(C92*(D92/100))/2</f>
        <v>42.5</v>
      </c>
      <c r="K92" s="13">
        <f>C92*(D92/100)</f>
        <v>85</v>
      </c>
      <c r="L92" s="13">
        <f>K92</f>
        <v>85</v>
      </c>
      <c r="M92" s="13">
        <f t="shared" ref="M92:P92" si="42">L92</f>
        <v>85</v>
      </c>
      <c r="N92" s="13">
        <f t="shared" si="42"/>
        <v>85</v>
      </c>
      <c r="O92" s="13">
        <f t="shared" si="42"/>
        <v>85</v>
      </c>
      <c r="P92" s="13">
        <f t="shared" si="42"/>
        <v>85</v>
      </c>
      <c r="Q92" s="13">
        <v>0</v>
      </c>
      <c r="R92" s="13">
        <v>0</v>
      </c>
      <c r="S92" s="13">
        <v>0</v>
      </c>
      <c r="T92" s="13">
        <f t="shared" ref="T92:AE92" si="43">T78*0.333333</f>
        <v>148.49985150000001</v>
      </c>
      <c r="U92" s="13">
        <f t="shared" si="43"/>
        <v>80.63075270249999</v>
      </c>
      <c r="V92" s="13">
        <f t="shared" si="43"/>
        <v>153.121513545</v>
      </c>
      <c r="W92" s="13">
        <f t="shared" si="43"/>
        <v>147.5823524175</v>
      </c>
      <c r="X92" s="13">
        <f t="shared" si="43"/>
        <v>88.376578289999998</v>
      </c>
      <c r="Y92" s="13">
        <f t="shared" si="43"/>
        <v>46.256620409999989</v>
      </c>
      <c r="Z92" s="13">
        <f t="shared" si="43"/>
        <v>46.084120582499999</v>
      </c>
      <c r="AA92" s="13">
        <f t="shared" si="43"/>
        <v>45.911620755000001</v>
      </c>
      <c r="AB92" s="13">
        <f t="shared" si="43"/>
        <v>236.64143002499998</v>
      </c>
      <c r="AC92" s="13">
        <f t="shared" si="43"/>
        <v>229.74143692499999</v>
      </c>
      <c r="AD92" s="13">
        <f t="shared" si="43"/>
        <v>137.81236218749999</v>
      </c>
      <c r="AE92" s="13">
        <f t="shared" si="43"/>
        <v>129.374870625</v>
      </c>
    </row>
    <row r="93" spans="1:49" s="13" customFormat="1" x14ac:dyDescent="0.25">
      <c r="A93" s="13" t="s">
        <v>257</v>
      </c>
      <c r="B93" s="14">
        <f>NPV(G92,J92:AE92)</f>
        <v>1365.633391550612</v>
      </c>
    </row>
    <row r="94" spans="1:49" s="13" customFormat="1" x14ac:dyDescent="0.25"/>
    <row r="95" spans="1:49" s="13" customFormat="1" x14ac:dyDescent="0.25">
      <c r="A95" s="13" t="s">
        <v>259</v>
      </c>
      <c r="B95" s="14">
        <f>B91-C90</f>
        <v>47.700821687468306</v>
      </c>
    </row>
    <row r="96" spans="1:49" s="13" customFormat="1" x14ac:dyDescent="0.25">
      <c r="A96" s="13" t="s">
        <v>260</v>
      </c>
      <c r="B96" s="14">
        <f>B93-C92</f>
        <v>365.63339155061203</v>
      </c>
    </row>
    <row r="97" spans="1:49" s="13" customFormat="1" x14ac:dyDescent="0.25">
      <c r="B97" s="14"/>
    </row>
    <row r="98" spans="1:49" s="13" customFormat="1" x14ac:dyDescent="0.25">
      <c r="A98" s="13" t="s">
        <v>104</v>
      </c>
      <c r="B98" s="25" t="s">
        <v>303</v>
      </c>
      <c r="C98" s="13">
        <v>1250</v>
      </c>
      <c r="D98" s="13">
        <v>8.9700000000000006</v>
      </c>
      <c r="E98" s="13" t="s">
        <v>304</v>
      </c>
      <c r="F98" s="13">
        <f>C98/C106</f>
        <v>0.41666666666666669</v>
      </c>
      <c r="G98" s="13">
        <v>0.03</v>
      </c>
      <c r="L98" s="13">
        <f>C98*(D98/100)</f>
        <v>112.125</v>
      </c>
      <c r="M98" s="13">
        <f>L98</f>
        <v>112.125</v>
      </c>
      <c r="N98" s="13">
        <f t="shared" ref="N98:P98" si="44">M98</f>
        <v>112.125</v>
      </c>
      <c r="O98" s="13">
        <f t="shared" si="44"/>
        <v>112.125</v>
      </c>
      <c r="P98" s="13">
        <f t="shared" si="44"/>
        <v>112.125</v>
      </c>
      <c r="Q98" s="13">
        <v>0</v>
      </c>
      <c r="R98" s="13">
        <v>0</v>
      </c>
      <c r="S98" s="13">
        <v>0</v>
      </c>
      <c r="T98" s="13">
        <f t="shared" ref="T98:AW98" si="45">T77*0.416667</f>
        <v>185.62514849999999</v>
      </c>
      <c r="U98" s="13">
        <f t="shared" si="45"/>
        <v>100.7886222975</v>
      </c>
      <c r="V98" s="13">
        <f t="shared" si="45"/>
        <v>152.027204955</v>
      </c>
      <c r="W98" s="13">
        <f t="shared" si="45"/>
        <v>145.10324108250001</v>
      </c>
      <c r="X98" s="13">
        <f t="shared" si="45"/>
        <v>71.095890209999993</v>
      </c>
      <c r="Y98" s="13">
        <f t="shared" si="45"/>
        <v>18.445848089999998</v>
      </c>
      <c r="Z98" s="13">
        <f t="shared" si="45"/>
        <v>18.230222917500001</v>
      </c>
      <c r="AA98" s="13">
        <f t="shared" si="45"/>
        <v>18.014597745</v>
      </c>
      <c r="AB98" s="13">
        <f t="shared" si="45"/>
        <v>115.80217597500001</v>
      </c>
      <c r="AC98" s="13">
        <f t="shared" si="45"/>
        <v>107.17716907500001</v>
      </c>
      <c r="AD98" s="13">
        <f t="shared" si="45"/>
        <v>2.8125022500000001</v>
      </c>
      <c r="AE98" s="13">
        <f t="shared" si="45"/>
        <v>2.8125022500000001</v>
      </c>
      <c r="AF98" s="13">
        <f t="shared" si="45"/>
        <v>2.8125022500000001</v>
      </c>
      <c r="AG98" s="13">
        <f t="shared" si="45"/>
        <v>2.8125022500000001</v>
      </c>
      <c r="AH98" s="13">
        <f t="shared" si="45"/>
        <v>2.8125022500000001</v>
      </c>
      <c r="AI98" s="13">
        <f t="shared" si="45"/>
        <v>2.8125022500000001</v>
      </c>
      <c r="AJ98" s="13">
        <f t="shared" si="45"/>
        <v>2.8125022500000001</v>
      </c>
      <c r="AK98" s="13">
        <f t="shared" si="45"/>
        <v>2.8125022500000001</v>
      </c>
      <c r="AL98" s="13">
        <f t="shared" si="45"/>
        <v>2.8125022500000001</v>
      </c>
      <c r="AM98" s="13">
        <f t="shared" si="45"/>
        <v>2.8125022500000001</v>
      </c>
      <c r="AN98" s="13">
        <f t="shared" si="45"/>
        <v>2.8125022500000001</v>
      </c>
      <c r="AO98" s="13">
        <f t="shared" si="45"/>
        <v>2.8125022500000001</v>
      </c>
      <c r="AP98" s="13">
        <f t="shared" si="45"/>
        <v>2.8125022500000001</v>
      </c>
      <c r="AQ98" s="13">
        <f t="shared" si="45"/>
        <v>2.8125022500000001</v>
      </c>
      <c r="AR98" s="13">
        <f t="shared" si="45"/>
        <v>2.8125022500000001</v>
      </c>
      <c r="AS98" s="13">
        <f t="shared" si="45"/>
        <v>2.8125022500000001</v>
      </c>
      <c r="AT98" s="13">
        <f t="shared" si="45"/>
        <v>2.8125022500000001</v>
      </c>
      <c r="AU98" s="13">
        <f t="shared" si="45"/>
        <v>160.45012836000001</v>
      </c>
      <c r="AV98" s="13">
        <f t="shared" si="45"/>
        <v>160.45012836000001</v>
      </c>
      <c r="AW98" s="13">
        <f t="shared" si="45"/>
        <v>159.66194022944998</v>
      </c>
    </row>
    <row r="99" spans="1:49" s="13" customFormat="1" x14ac:dyDescent="0.25">
      <c r="A99" s="13" t="s">
        <v>257</v>
      </c>
      <c r="B99" s="14">
        <f>NPV(G98,L98:AW98)</f>
        <v>1341.7007494780798</v>
      </c>
    </row>
    <row r="100" spans="1:49" s="13" customFormat="1" x14ac:dyDescent="0.25">
      <c r="A100" s="13" t="s">
        <v>305</v>
      </c>
      <c r="B100" s="14"/>
      <c r="C100" s="13">
        <v>1250</v>
      </c>
      <c r="D100" s="13">
        <v>8.9700000000000006</v>
      </c>
      <c r="E100" s="13" t="s">
        <v>304</v>
      </c>
      <c r="F100" s="13">
        <f>F98</f>
        <v>0.41666666666666669</v>
      </c>
      <c r="G100" s="13">
        <v>2.8000000000000001E-2</v>
      </c>
      <c r="L100" s="13">
        <f>C100*(D100/100)</f>
        <v>112.125</v>
      </c>
      <c r="M100" s="13">
        <f>L100</f>
        <v>112.125</v>
      </c>
      <c r="N100" s="13">
        <f t="shared" ref="N100:P100" si="46">M100</f>
        <v>112.125</v>
      </c>
      <c r="O100" s="13">
        <f t="shared" si="46"/>
        <v>112.125</v>
      </c>
      <c r="P100" s="13">
        <f t="shared" si="46"/>
        <v>112.125</v>
      </c>
      <c r="Q100" s="13">
        <v>0</v>
      </c>
      <c r="R100" s="13">
        <v>0</v>
      </c>
      <c r="S100" s="13">
        <v>0</v>
      </c>
      <c r="T100" s="13">
        <f t="shared" ref="T100:AE100" si="47">T78*0.416667</f>
        <v>185.62514849999999</v>
      </c>
      <c r="U100" s="13">
        <f t="shared" si="47"/>
        <v>100.7886222975</v>
      </c>
      <c r="V100" s="13">
        <f t="shared" si="47"/>
        <v>191.40223645500001</v>
      </c>
      <c r="W100" s="13">
        <f t="shared" si="47"/>
        <v>184.47827258250001</v>
      </c>
      <c r="X100" s="13">
        <f t="shared" si="47"/>
        <v>110.47092171</v>
      </c>
      <c r="Y100" s="13">
        <f t="shared" si="47"/>
        <v>57.820879589999997</v>
      </c>
      <c r="Z100" s="13">
        <f t="shared" si="47"/>
        <v>57.605254417499999</v>
      </c>
      <c r="AA100" s="13">
        <f t="shared" si="47"/>
        <v>57.389629245000009</v>
      </c>
      <c r="AB100" s="13">
        <f t="shared" si="47"/>
        <v>295.80231997499999</v>
      </c>
      <c r="AC100" s="13">
        <f t="shared" si="47"/>
        <v>287.17731307500003</v>
      </c>
      <c r="AD100" s="13">
        <f t="shared" si="47"/>
        <v>172.26576281250001</v>
      </c>
      <c r="AE100" s="13">
        <f t="shared" si="47"/>
        <v>161.718879375</v>
      </c>
    </row>
    <row r="101" spans="1:49" s="13" customFormat="1" x14ac:dyDescent="0.25">
      <c r="A101" s="13" t="s">
        <v>257</v>
      </c>
      <c r="B101" s="14">
        <f>NPV(G100,L100:AE100)</f>
        <v>1757.4817686742065</v>
      </c>
    </row>
    <row r="102" spans="1:49" s="13" customFormat="1" x14ac:dyDescent="0.25">
      <c r="B102" s="14"/>
    </row>
    <row r="103" spans="1:49" s="13" customFormat="1" x14ac:dyDescent="0.25">
      <c r="A103" s="13" t="s">
        <v>259</v>
      </c>
      <c r="B103" s="14">
        <f>B99-C98</f>
        <v>91.700749478079842</v>
      </c>
    </row>
    <row r="104" spans="1:49" s="13" customFormat="1" x14ac:dyDescent="0.25">
      <c r="A104" s="13" t="s">
        <v>260</v>
      </c>
      <c r="B104" s="14">
        <f>B101-C100</f>
        <v>507.48176867420648</v>
      </c>
    </row>
    <row r="105" spans="1:49" s="13" customFormat="1" x14ac:dyDescent="0.25"/>
    <row r="106" spans="1:49" s="13" customFormat="1" x14ac:dyDescent="0.25">
      <c r="A106" s="13" t="s">
        <v>306</v>
      </c>
      <c r="C106" s="13">
        <v>3000</v>
      </c>
    </row>
    <row r="107" spans="1:49" s="13" customFormat="1" x14ac:dyDescent="0.25">
      <c r="C107" s="13" t="s">
        <v>40</v>
      </c>
    </row>
    <row r="108" spans="1:49" s="13" customFormat="1" x14ac:dyDescent="0.25">
      <c r="A108" s="13" t="s">
        <v>307</v>
      </c>
      <c r="B108" s="15">
        <f>B87+B95+B103</f>
        <v>127.13533574344729</v>
      </c>
      <c r="C108" s="16">
        <f>B108/C106</f>
        <v>4.2378445247815762E-2</v>
      </c>
    </row>
    <row r="109" spans="1:49" s="13" customFormat="1" x14ac:dyDescent="0.25">
      <c r="A109" s="13" t="s">
        <v>308</v>
      </c>
      <c r="B109" s="15">
        <f>B88+B96+B104</f>
        <v>1133.6198642856007</v>
      </c>
      <c r="C109" s="16">
        <f>B109/C106</f>
        <v>0.37787328809520021</v>
      </c>
    </row>
    <row r="110" spans="1:49" s="13" customFormat="1" x14ac:dyDescent="0.25"/>
    <row r="111" spans="1:49" s="13" customFormat="1" x14ac:dyDescent="0.25">
      <c r="A111" s="12" t="s">
        <v>263</v>
      </c>
    </row>
    <row r="112" spans="1:49" s="13" customFormat="1" x14ac:dyDescent="0.25">
      <c r="C112" s="13" t="s">
        <v>309</v>
      </c>
      <c r="D112" s="13" t="s">
        <v>136</v>
      </c>
      <c r="E112" s="13" t="s">
        <v>94</v>
      </c>
      <c r="F112" s="13" t="s">
        <v>95</v>
      </c>
      <c r="G112" s="13" t="s">
        <v>14</v>
      </c>
    </row>
    <row r="113" spans="1:49" s="13" customFormat="1" x14ac:dyDescent="0.25">
      <c r="A113" s="13" t="s">
        <v>98</v>
      </c>
      <c r="B113" s="23" t="s">
        <v>296</v>
      </c>
      <c r="C113" s="13">
        <v>56</v>
      </c>
      <c r="D113" s="13">
        <f>C82*(C113/100)</f>
        <v>420.00000000000006</v>
      </c>
      <c r="G113" s="13">
        <v>3.5999999999999997E-2</v>
      </c>
      <c r="S113" s="13">
        <f t="shared" ref="S113:AW113" si="48">S82</f>
        <v>0</v>
      </c>
      <c r="T113" s="13">
        <f t="shared" si="48"/>
        <v>111.375</v>
      </c>
      <c r="U113" s="13">
        <f t="shared" si="48"/>
        <v>60.473124999999996</v>
      </c>
      <c r="V113" s="13">
        <f t="shared" si="48"/>
        <v>91.216250000000002</v>
      </c>
      <c r="W113" s="13">
        <f t="shared" si="48"/>
        <v>87.061875000000001</v>
      </c>
      <c r="X113" s="13">
        <f t="shared" si="48"/>
        <v>42.657499999999999</v>
      </c>
      <c r="Y113" s="13">
        <f t="shared" si="48"/>
        <v>11.067499999999999</v>
      </c>
      <c r="Z113" s="13">
        <f t="shared" si="48"/>
        <v>10.938124999999999</v>
      </c>
      <c r="AA113" s="13">
        <f t="shared" si="48"/>
        <v>10.80875</v>
      </c>
      <c r="AB113" s="13">
        <f t="shared" si="48"/>
        <v>69.481250000000003</v>
      </c>
      <c r="AC113" s="13">
        <f t="shared" si="48"/>
        <v>64.306250000000006</v>
      </c>
      <c r="AD113" s="13">
        <f t="shared" si="48"/>
        <v>1.6875</v>
      </c>
      <c r="AE113" s="13">
        <f t="shared" si="48"/>
        <v>1.6875</v>
      </c>
      <c r="AF113" s="13">
        <f t="shared" si="48"/>
        <v>1.6875</v>
      </c>
      <c r="AG113" s="13">
        <f t="shared" si="48"/>
        <v>1.6875</v>
      </c>
      <c r="AH113" s="13">
        <f t="shared" si="48"/>
        <v>1.6875</v>
      </c>
      <c r="AI113" s="13">
        <f t="shared" si="48"/>
        <v>1.6875</v>
      </c>
      <c r="AJ113" s="13">
        <f t="shared" si="48"/>
        <v>1.6875</v>
      </c>
      <c r="AK113" s="13">
        <f t="shared" si="48"/>
        <v>1.6875</v>
      </c>
      <c r="AL113" s="13">
        <f t="shared" si="48"/>
        <v>1.6875</v>
      </c>
      <c r="AM113" s="13">
        <f t="shared" si="48"/>
        <v>1.6875</v>
      </c>
      <c r="AN113" s="13">
        <f t="shared" si="48"/>
        <v>1.6875</v>
      </c>
      <c r="AO113" s="13">
        <f t="shared" si="48"/>
        <v>1.6875</v>
      </c>
      <c r="AP113" s="13">
        <f t="shared" si="48"/>
        <v>1.6875</v>
      </c>
      <c r="AQ113" s="13">
        <f t="shared" si="48"/>
        <v>1.6875</v>
      </c>
      <c r="AR113" s="13">
        <f t="shared" si="48"/>
        <v>1.6875</v>
      </c>
      <c r="AS113" s="13">
        <f t="shared" si="48"/>
        <v>1.6875</v>
      </c>
      <c r="AT113" s="13">
        <f t="shared" si="48"/>
        <v>1.6875</v>
      </c>
      <c r="AU113" s="13">
        <f t="shared" si="48"/>
        <v>96.27</v>
      </c>
      <c r="AV113" s="13">
        <f t="shared" si="48"/>
        <v>96.27</v>
      </c>
      <c r="AW113" s="13">
        <f t="shared" si="48"/>
        <v>95.797087499999989</v>
      </c>
    </row>
    <row r="114" spans="1:49" s="13" customFormat="1" x14ac:dyDescent="0.25">
      <c r="A114" s="13" t="s">
        <v>15</v>
      </c>
      <c r="B114" s="14">
        <f>NPV(G113,S113:AW113)</f>
        <v>576.0959687273247</v>
      </c>
    </row>
    <row r="115" spans="1:49" s="13" customFormat="1" x14ac:dyDescent="0.25">
      <c r="A115" s="13" t="s">
        <v>298</v>
      </c>
      <c r="B115" s="23" t="s">
        <v>296</v>
      </c>
      <c r="C115" s="13">
        <v>56</v>
      </c>
      <c r="D115" s="13">
        <f>D113</f>
        <v>420.00000000000006</v>
      </c>
      <c r="G115" s="13">
        <v>3.7999999999999999E-2</v>
      </c>
      <c r="S115" s="13">
        <f t="shared" ref="S115:AE115" si="49">S84</f>
        <v>0</v>
      </c>
      <c r="T115" s="13">
        <f t="shared" si="49"/>
        <v>111.375</v>
      </c>
      <c r="U115" s="13">
        <f t="shared" si="49"/>
        <v>60.473124999999996</v>
      </c>
      <c r="V115" s="13">
        <f t="shared" si="49"/>
        <v>114.84125</v>
      </c>
      <c r="W115" s="13">
        <f t="shared" si="49"/>
        <v>110.686875</v>
      </c>
      <c r="X115" s="13">
        <f t="shared" si="49"/>
        <v>66.282499999999999</v>
      </c>
      <c r="Y115" s="13">
        <f t="shared" si="49"/>
        <v>34.692499999999995</v>
      </c>
      <c r="Z115" s="13">
        <f t="shared" si="49"/>
        <v>34.563124999999999</v>
      </c>
      <c r="AA115" s="13">
        <f t="shared" si="49"/>
        <v>34.433750000000003</v>
      </c>
      <c r="AB115" s="13">
        <f t="shared" si="49"/>
        <v>177.48124999999999</v>
      </c>
      <c r="AC115" s="13">
        <f t="shared" si="49"/>
        <v>172.30625000000001</v>
      </c>
      <c r="AD115" s="13">
        <f t="shared" si="49"/>
        <v>103.359375</v>
      </c>
      <c r="AE115" s="13">
        <f t="shared" si="49"/>
        <v>97.03125</v>
      </c>
    </row>
    <row r="116" spans="1:49" s="13" customFormat="1" x14ac:dyDescent="0.25">
      <c r="A116" s="13" t="s">
        <v>299</v>
      </c>
      <c r="B116" s="14">
        <f>NPV(G115,S115:AE115)</f>
        <v>840.56935611408926</v>
      </c>
    </row>
    <row r="117" spans="1:49" s="13" customFormat="1" x14ac:dyDescent="0.25"/>
    <row r="118" spans="1:49" s="13" customFormat="1" x14ac:dyDescent="0.25">
      <c r="A118" s="13" t="s">
        <v>259</v>
      </c>
      <c r="B118" s="14">
        <f>B114-D113</f>
        <v>156.09596872732465</v>
      </c>
    </row>
    <row r="119" spans="1:49" s="13" customFormat="1" x14ac:dyDescent="0.25">
      <c r="A119" s="13" t="s">
        <v>260</v>
      </c>
      <c r="B119" s="14">
        <f>B116-D115</f>
        <v>420.5693561140892</v>
      </c>
    </row>
    <row r="120" spans="1:49" s="13" customFormat="1" x14ac:dyDescent="0.25"/>
    <row r="121" spans="1:49" s="13" customFormat="1" x14ac:dyDescent="0.25">
      <c r="A121" s="13" t="s">
        <v>101</v>
      </c>
      <c r="B121" s="24" t="s">
        <v>300</v>
      </c>
      <c r="C121" s="13">
        <v>56</v>
      </c>
      <c r="D121" s="13">
        <f>C90*(C121/100)</f>
        <v>560</v>
      </c>
      <c r="G121" s="13">
        <v>3.5999999999999997E-2</v>
      </c>
      <c r="S121" s="13">
        <f t="shared" ref="S121:AW121" si="50">S90</f>
        <v>0</v>
      </c>
      <c r="T121" s="13">
        <f t="shared" si="50"/>
        <v>148.49985150000001</v>
      </c>
      <c r="U121" s="13">
        <f t="shared" si="50"/>
        <v>80.63075270249999</v>
      </c>
      <c r="V121" s="13">
        <f t="shared" si="50"/>
        <v>121.621545045</v>
      </c>
      <c r="W121" s="13">
        <f t="shared" si="50"/>
        <v>116.0823839175</v>
      </c>
      <c r="X121" s="13">
        <f t="shared" si="50"/>
        <v>56.876609789999996</v>
      </c>
      <c r="Y121" s="13">
        <f t="shared" si="50"/>
        <v>14.756651909999999</v>
      </c>
      <c r="Z121" s="13">
        <f t="shared" si="50"/>
        <v>14.584152082499999</v>
      </c>
      <c r="AA121" s="13">
        <f t="shared" si="50"/>
        <v>14.411652255</v>
      </c>
      <c r="AB121" s="13">
        <f t="shared" si="50"/>
        <v>92.641574024999997</v>
      </c>
      <c r="AC121" s="13">
        <f t="shared" si="50"/>
        <v>85.741580925000008</v>
      </c>
      <c r="AD121" s="13">
        <f t="shared" si="50"/>
        <v>2.2499977499999999</v>
      </c>
      <c r="AE121" s="13">
        <f t="shared" si="50"/>
        <v>2.2499977499999999</v>
      </c>
      <c r="AF121" s="13">
        <f t="shared" si="50"/>
        <v>2.2499977499999999</v>
      </c>
      <c r="AG121" s="13">
        <f t="shared" si="50"/>
        <v>2.2499977499999999</v>
      </c>
      <c r="AH121" s="13">
        <f t="shared" si="50"/>
        <v>2.2499977499999999</v>
      </c>
      <c r="AI121" s="13">
        <f t="shared" si="50"/>
        <v>2.2499977499999999</v>
      </c>
      <c r="AJ121" s="13">
        <f t="shared" si="50"/>
        <v>2.2499977499999999</v>
      </c>
      <c r="AK121" s="13">
        <f t="shared" si="50"/>
        <v>2.2499977499999999</v>
      </c>
      <c r="AL121" s="13">
        <f t="shared" si="50"/>
        <v>2.2499977499999999</v>
      </c>
      <c r="AM121" s="13">
        <f t="shared" si="50"/>
        <v>2.2499977499999999</v>
      </c>
      <c r="AN121" s="13">
        <f t="shared" si="50"/>
        <v>2.2499977499999999</v>
      </c>
      <c r="AO121" s="13">
        <f t="shared" si="50"/>
        <v>2.2499977499999999</v>
      </c>
      <c r="AP121" s="13">
        <f t="shared" si="50"/>
        <v>2.2499977499999999</v>
      </c>
      <c r="AQ121" s="13">
        <f t="shared" si="50"/>
        <v>2.2499977499999999</v>
      </c>
      <c r="AR121" s="13">
        <f t="shared" si="50"/>
        <v>2.2499977499999999</v>
      </c>
      <c r="AS121" s="13">
        <f t="shared" si="50"/>
        <v>2.2499977499999999</v>
      </c>
      <c r="AT121" s="13">
        <f t="shared" si="50"/>
        <v>2.2499977499999999</v>
      </c>
      <c r="AU121" s="13">
        <f t="shared" si="50"/>
        <v>128.35987163999999</v>
      </c>
      <c r="AV121" s="13">
        <f t="shared" si="50"/>
        <v>128.35987163999999</v>
      </c>
      <c r="AW121" s="13">
        <f t="shared" si="50"/>
        <v>127.72932227054999</v>
      </c>
    </row>
    <row r="122" spans="1:49" s="13" customFormat="1" x14ac:dyDescent="0.25">
      <c r="A122" s="13" t="s">
        <v>257</v>
      </c>
      <c r="B122" s="14">
        <f>NPV(G121,S121:AW121)</f>
        <v>768.12719017514178</v>
      </c>
    </row>
    <row r="123" spans="1:49" s="13" customFormat="1" x14ac:dyDescent="0.25">
      <c r="A123" s="13" t="s">
        <v>302</v>
      </c>
      <c r="B123" s="24" t="s">
        <v>300</v>
      </c>
      <c r="C123" s="13">
        <f>C121</f>
        <v>56</v>
      </c>
      <c r="D123" s="13">
        <f>D121</f>
        <v>560</v>
      </c>
      <c r="G123" s="13">
        <v>3.7999999999999999E-2</v>
      </c>
      <c r="S123" s="13">
        <f t="shared" ref="S123:AE123" si="51">S92</f>
        <v>0</v>
      </c>
      <c r="T123" s="13">
        <f t="shared" si="51"/>
        <v>148.49985150000001</v>
      </c>
      <c r="U123" s="13">
        <f t="shared" si="51"/>
        <v>80.63075270249999</v>
      </c>
      <c r="V123" s="13">
        <f t="shared" si="51"/>
        <v>153.121513545</v>
      </c>
      <c r="W123" s="13">
        <f t="shared" si="51"/>
        <v>147.5823524175</v>
      </c>
      <c r="X123" s="13">
        <f t="shared" si="51"/>
        <v>88.376578289999998</v>
      </c>
      <c r="Y123" s="13">
        <f t="shared" si="51"/>
        <v>46.256620409999989</v>
      </c>
      <c r="Z123" s="13">
        <f t="shared" si="51"/>
        <v>46.084120582499999</v>
      </c>
      <c r="AA123" s="13">
        <f t="shared" si="51"/>
        <v>45.911620755000001</v>
      </c>
      <c r="AB123" s="13">
        <f t="shared" si="51"/>
        <v>236.64143002499998</v>
      </c>
      <c r="AC123" s="13">
        <f t="shared" si="51"/>
        <v>229.74143692499999</v>
      </c>
      <c r="AD123" s="13">
        <f t="shared" si="51"/>
        <v>137.81236218749999</v>
      </c>
      <c r="AE123" s="13">
        <f t="shared" si="51"/>
        <v>129.374870625</v>
      </c>
    </row>
    <row r="124" spans="1:49" s="13" customFormat="1" x14ac:dyDescent="0.25">
      <c r="A124" s="13" t="s">
        <v>257</v>
      </c>
      <c r="B124" s="14">
        <f>NPV(G123,S123:AE123)</f>
        <v>1120.7580207263109</v>
      </c>
    </row>
    <row r="125" spans="1:49" s="13" customFormat="1" x14ac:dyDescent="0.25"/>
    <row r="126" spans="1:49" s="13" customFormat="1" x14ac:dyDescent="0.25">
      <c r="A126" s="13" t="s">
        <v>259</v>
      </c>
      <c r="B126" s="14">
        <f>B122-D121</f>
        <v>208.12719017514178</v>
      </c>
    </row>
    <row r="127" spans="1:49" s="13" customFormat="1" x14ac:dyDescent="0.25">
      <c r="A127" s="13" t="s">
        <v>260</v>
      </c>
      <c r="B127" s="14">
        <f>B124-D123</f>
        <v>560.75802072631086</v>
      </c>
    </row>
    <row r="128" spans="1:49" s="13" customFormat="1" x14ac:dyDescent="0.25"/>
    <row r="129" spans="1:49" s="13" customFormat="1" x14ac:dyDescent="0.25">
      <c r="A129" s="13" t="s">
        <v>104</v>
      </c>
      <c r="B129" s="25" t="s">
        <v>303</v>
      </c>
      <c r="C129" s="13">
        <v>57</v>
      </c>
      <c r="D129" s="13">
        <f>C98*(C129/100)</f>
        <v>712.49999999999989</v>
      </c>
      <c r="G129" s="13">
        <v>3.5999999999999997E-2</v>
      </c>
      <c r="S129" s="13">
        <f t="shared" ref="S129:AW129" si="52">S98</f>
        <v>0</v>
      </c>
      <c r="T129" s="13">
        <f t="shared" si="52"/>
        <v>185.62514849999999</v>
      </c>
      <c r="U129" s="13">
        <f t="shared" si="52"/>
        <v>100.7886222975</v>
      </c>
      <c r="V129" s="13">
        <f t="shared" si="52"/>
        <v>152.027204955</v>
      </c>
      <c r="W129" s="13">
        <f t="shared" si="52"/>
        <v>145.10324108250001</v>
      </c>
      <c r="X129" s="13">
        <f t="shared" si="52"/>
        <v>71.095890209999993</v>
      </c>
      <c r="Y129" s="13">
        <f t="shared" si="52"/>
        <v>18.445848089999998</v>
      </c>
      <c r="Z129" s="13">
        <f t="shared" si="52"/>
        <v>18.230222917500001</v>
      </c>
      <c r="AA129" s="13">
        <f t="shared" si="52"/>
        <v>18.014597745</v>
      </c>
      <c r="AB129" s="13">
        <f t="shared" si="52"/>
        <v>115.80217597500001</v>
      </c>
      <c r="AC129" s="13">
        <f t="shared" si="52"/>
        <v>107.17716907500001</v>
      </c>
      <c r="AD129" s="13">
        <f t="shared" si="52"/>
        <v>2.8125022500000001</v>
      </c>
      <c r="AE129" s="13">
        <f t="shared" si="52"/>
        <v>2.8125022500000001</v>
      </c>
      <c r="AF129" s="13">
        <f t="shared" si="52"/>
        <v>2.8125022500000001</v>
      </c>
      <c r="AG129" s="13">
        <f t="shared" si="52"/>
        <v>2.8125022500000001</v>
      </c>
      <c r="AH129" s="13">
        <f t="shared" si="52"/>
        <v>2.8125022500000001</v>
      </c>
      <c r="AI129" s="13">
        <f t="shared" si="52"/>
        <v>2.8125022500000001</v>
      </c>
      <c r="AJ129" s="13">
        <f t="shared" si="52"/>
        <v>2.8125022500000001</v>
      </c>
      <c r="AK129" s="13">
        <f t="shared" si="52"/>
        <v>2.8125022500000001</v>
      </c>
      <c r="AL129" s="13">
        <f t="shared" si="52"/>
        <v>2.8125022500000001</v>
      </c>
      <c r="AM129" s="13">
        <f t="shared" si="52"/>
        <v>2.8125022500000001</v>
      </c>
      <c r="AN129" s="13">
        <f t="shared" si="52"/>
        <v>2.8125022500000001</v>
      </c>
      <c r="AO129" s="13">
        <f t="shared" si="52"/>
        <v>2.8125022500000001</v>
      </c>
      <c r="AP129" s="13">
        <f t="shared" si="52"/>
        <v>2.8125022500000001</v>
      </c>
      <c r="AQ129" s="13">
        <f t="shared" si="52"/>
        <v>2.8125022500000001</v>
      </c>
      <c r="AR129" s="13">
        <f t="shared" si="52"/>
        <v>2.8125022500000001</v>
      </c>
      <c r="AS129" s="13">
        <f t="shared" si="52"/>
        <v>2.8125022500000001</v>
      </c>
      <c r="AT129" s="13">
        <f t="shared" si="52"/>
        <v>2.8125022500000001</v>
      </c>
      <c r="AU129" s="13">
        <f t="shared" si="52"/>
        <v>160.45012836000001</v>
      </c>
      <c r="AV129" s="13">
        <f t="shared" si="52"/>
        <v>160.45012836000001</v>
      </c>
      <c r="AW129" s="13">
        <f t="shared" si="52"/>
        <v>159.66194022944998</v>
      </c>
    </row>
    <row r="130" spans="1:49" s="13" customFormat="1" x14ac:dyDescent="0.25">
      <c r="A130" s="13" t="s">
        <v>257</v>
      </c>
      <c r="B130" s="14">
        <f>NPV(G129,S129:AW129)</f>
        <v>960.1607160068329</v>
      </c>
    </row>
    <row r="131" spans="1:49" s="13" customFormat="1" x14ac:dyDescent="0.25">
      <c r="A131" s="13" t="s">
        <v>305</v>
      </c>
      <c r="B131" s="14"/>
      <c r="C131" s="13">
        <f>C129</f>
        <v>57</v>
      </c>
      <c r="D131" s="13">
        <f>D129</f>
        <v>712.49999999999989</v>
      </c>
      <c r="G131" s="13">
        <v>3.7999999999999999E-2</v>
      </c>
      <c r="S131" s="13">
        <f t="shared" ref="S131:AE131" si="53">S100</f>
        <v>0</v>
      </c>
      <c r="T131" s="13">
        <f t="shared" si="53"/>
        <v>185.62514849999999</v>
      </c>
      <c r="U131" s="13">
        <f t="shared" si="53"/>
        <v>100.7886222975</v>
      </c>
      <c r="V131" s="13">
        <f t="shared" si="53"/>
        <v>191.40223645500001</v>
      </c>
      <c r="W131" s="13">
        <f t="shared" si="53"/>
        <v>184.47827258250001</v>
      </c>
      <c r="X131" s="13">
        <f t="shared" si="53"/>
        <v>110.47092171</v>
      </c>
      <c r="Y131" s="13">
        <f t="shared" si="53"/>
        <v>57.820879589999997</v>
      </c>
      <c r="Z131" s="13">
        <f t="shared" si="53"/>
        <v>57.605254417499999</v>
      </c>
      <c r="AA131" s="13">
        <f t="shared" si="53"/>
        <v>57.389629245000009</v>
      </c>
      <c r="AB131" s="13">
        <f t="shared" si="53"/>
        <v>295.80231997499999</v>
      </c>
      <c r="AC131" s="13">
        <f t="shared" si="53"/>
        <v>287.17731307500003</v>
      </c>
      <c r="AD131" s="13">
        <f t="shared" si="53"/>
        <v>172.26576281250001</v>
      </c>
      <c r="AE131" s="13">
        <f t="shared" si="53"/>
        <v>161.718879375</v>
      </c>
    </row>
    <row r="132" spans="1:49" s="13" customFormat="1" x14ac:dyDescent="0.25">
      <c r="A132" s="13" t="s">
        <v>257</v>
      </c>
      <c r="B132" s="14">
        <f>NPV(G131,S131:AE131)</f>
        <v>1400.9500476159569</v>
      </c>
    </row>
    <row r="133" spans="1:49" s="13" customFormat="1" x14ac:dyDescent="0.25"/>
    <row r="134" spans="1:49" s="13" customFormat="1" x14ac:dyDescent="0.25">
      <c r="A134" s="13" t="s">
        <v>259</v>
      </c>
      <c r="B134" s="14">
        <f>B130-D129</f>
        <v>247.66071600683301</v>
      </c>
    </row>
    <row r="135" spans="1:49" s="13" customFormat="1" x14ac:dyDescent="0.25">
      <c r="A135" s="13" t="s">
        <v>260</v>
      </c>
      <c r="B135" s="14">
        <f>B132-D131</f>
        <v>688.45004761595703</v>
      </c>
    </row>
    <row r="136" spans="1:49" s="13" customFormat="1" x14ac:dyDescent="0.25">
      <c r="C136" s="13" t="s">
        <v>310</v>
      </c>
    </row>
    <row r="137" spans="1:49" s="13" customFormat="1" x14ac:dyDescent="0.25">
      <c r="A137" s="13" t="s">
        <v>327</v>
      </c>
      <c r="B137" s="13">
        <f>D115+D123+D131</f>
        <v>1692.5</v>
      </c>
    </row>
    <row r="138" spans="1:49" s="13" customFormat="1" x14ac:dyDescent="0.25">
      <c r="A138" s="13" t="s">
        <v>307</v>
      </c>
      <c r="B138" s="15">
        <f>B118+B126+B134</f>
        <v>611.88387490929949</v>
      </c>
      <c r="C138" s="16">
        <f>B138/(D113+D121+D129)</f>
        <v>0.36152666168939407</v>
      </c>
    </row>
    <row r="139" spans="1:49" s="13" customFormat="1" x14ac:dyDescent="0.25">
      <c r="A139" s="13" t="s">
        <v>308</v>
      </c>
      <c r="B139" s="15">
        <f>B119+B127+B135</f>
        <v>1669.777424456357</v>
      </c>
      <c r="C139" s="16">
        <f>B139/(D115+D123+D131)</f>
        <v>0.9865745491618062</v>
      </c>
    </row>
    <row r="140" spans="1:49" s="13" customFormat="1" x14ac:dyDescent="0.25">
      <c r="B140" s="15"/>
      <c r="C140" s="16"/>
    </row>
    <row r="141" spans="1:49" s="13" customFormat="1" x14ac:dyDescent="0.25">
      <c r="A141" s="13" t="s">
        <v>153</v>
      </c>
      <c r="B141" s="27">
        <f>(B108+B109+B138+B139)/4</f>
        <v>885.60412484867607</v>
      </c>
      <c r="C141" s="16"/>
    </row>
    <row r="142" spans="1:49" s="13" customFormat="1" x14ac:dyDescent="0.25">
      <c r="A142" s="13" t="s">
        <v>155</v>
      </c>
      <c r="B142" s="27">
        <f>((C106)+(D113+D121+D129))/2</f>
        <v>2346.25</v>
      </c>
      <c r="C142" s="16"/>
    </row>
    <row r="143" spans="1:49" s="13" customFormat="1" x14ac:dyDescent="0.25">
      <c r="A143" s="13" t="s">
        <v>154</v>
      </c>
      <c r="B143" s="16">
        <f>B141/B142</f>
        <v>0.37745514111824235</v>
      </c>
      <c r="C143" s="16"/>
    </row>
    <row r="145" spans="1:8" s="18" customFormat="1" x14ac:dyDescent="0.25">
      <c r="A145" s="17" t="s">
        <v>46</v>
      </c>
    </row>
    <row r="146" spans="1:8" s="18" customFormat="1" x14ac:dyDescent="0.25"/>
    <row r="147" spans="1:8" s="18" customFormat="1" x14ac:dyDescent="0.25">
      <c r="B147" s="18" t="s">
        <v>198</v>
      </c>
    </row>
    <row r="148" spans="1:8" s="18" customFormat="1" x14ac:dyDescent="0.25">
      <c r="A148" s="17"/>
      <c r="B148" s="26">
        <v>15097</v>
      </c>
      <c r="C148" s="18" t="s">
        <v>311</v>
      </c>
    </row>
    <row r="149" spans="1:8" s="18" customFormat="1" x14ac:dyDescent="0.25"/>
    <row r="150" spans="1:8" s="18" customFormat="1" x14ac:dyDescent="0.25">
      <c r="A150" s="18" t="s">
        <v>47</v>
      </c>
      <c r="B150" s="18" t="s">
        <v>140</v>
      </c>
      <c r="C150" s="18" t="s">
        <v>276</v>
      </c>
      <c r="E150" s="18" t="s">
        <v>141</v>
      </c>
      <c r="F150" s="18" t="s">
        <v>150</v>
      </c>
      <c r="G150" s="18" t="s">
        <v>151</v>
      </c>
      <c r="H150" s="18" t="s">
        <v>152</v>
      </c>
    </row>
    <row r="151" spans="1:8" s="18" customFormat="1" x14ac:dyDescent="0.25">
      <c r="A151" s="18" t="s">
        <v>142</v>
      </c>
      <c r="B151" s="26">
        <f>C172</f>
        <v>3286.1647174408668</v>
      </c>
      <c r="C151" s="20">
        <f>B151/B156</f>
        <v>0.21767004818446492</v>
      </c>
      <c r="D151" s="26"/>
      <c r="E151" s="19">
        <f>C29</f>
        <v>1882.7788243903124</v>
      </c>
      <c r="G151" s="26">
        <f>B151-E151</f>
        <v>1403.3858930505544</v>
      </c>
      <c r="H151" s="18">
        <f>G151/B151</f>
        <v>0.42705890109594236</v>
      </c>
    </row>
    <row r="152" spans="1:8" s="18" customFormat="1" x14ac:dyDescent="0.25">
      <c r="A152" s="18" t="s">
        <v>143</v>
      </c>
      <c r="B152" s="26">
        <f>F181</f>
        <v>3350.3124290822902</v>
      </c>
      <c r="C152" s="20">
        <f>B152/B156</f>
        <v>0.22191908518793735</v>
      </c>
      <c r="E152" s="26">
        <f>B152</f>
        <v>3350.3124290822902</v>
      </c>
      <c r="F152" s="21">
        <f>E152*H152</f>
        <v>1919.53168479033</v>
      </c>
      <c r="H152" s="18">
        <f>1-H151</f>
        <v>0.57294109890405764</v>
      </c>
    </row>
    <row r="153" spans="1:8" s="18" customFormat="1" x14ac:dyDescent="0.25">
      <c r="A153" s="18" t="s">
        <v>146</v>
      </c>
      <c r="B153" s="26">
        <f>B151+B152</f>
        <v>6636.477146523157</v>
      </c>
      <c r="C153" s="20">
        <f>B153/B156</f>
        <v>0.43958913337240224</v>
      </c>
      <c r="E153" s="26">
        <f>E151+E152</f>
        <v>5233.0912534726031</v>
      </c>
    </row>
    <row r="154" spans="1:8" s="18" customFormat="1" x14ac:dyDescent="0.25">
      <c r="A154" s="18" t="s">
        <v>17</v>
      </c>
      <c r="B154" s="26">
        <f>F190</f>
        <v>6139.5427232401153</v>
      </c>
      <c r="C154" s="20">
        <f>B154/B156</f>
        <v>0.40667302929324473</v>
      </c>
      <c r="E154" s="19">
        <f>C55</f>
        <v>3219.3064320631206</v>
      </c>
    </row>
    <row r="155" spans="1:8" s="18" customFormat="1" x14ac:dyDescent="0.25">
      <c r="A155" s="18" t="s">
        <v>48</v>
      </c>
      <c r="B155" s="26">
        <f>B156-B154-B153</f>
        <v>2320.9801302367268</v>
      </c>
      <c r="C155" s="20">
        <f>B155/B156</f>
        <v>0.15373783733435298</v>
      </c>
      <c r="E155" s="26">
        <f>B155</f>
        <v>2320.9801302367268</v>
      </c>
    </row>
    <row r="156" spans="1:8" s="18" customFormat="1" x14ac:dyDescent="0.25">
      <c r="B156" s="26">
        <f>B148</f>
        <v>15097</v>
      </c>
      <c r="E156" s="26">
        <f>E153+E154+E155</f>
        <v>10773.37781577245</v>
      </c>
    </row>
    <row r="157" spans="1:8" s="18" customFormat="1" x14ac:dyDescent="0.25">
      <c r="F157" s="26">
        <f>E151+F152+E154+E155</f>
        <v>9342.5970714804898</v>
      </c>
    </row>
    <row r="158" spans="1:8" s="18" customFormat="1" x14ac:dyDescent="0.25">
      <c r="A158" s="18" t="s">
        <v>71</v>
      </c>
      <c r="B158" s="20">
        <f>(B156-E156)/B156</f>
        <v>0.28638949355683579</v>
      </c>
      <c r="F158" s="20">
        <f>(B156-F157)/B156</f>
        <v>0.38116201420941315</v>
      </c>
    </row>
    <row r="159" spans="1:8" s="18" customFormat="1" x14ac:dyDescent="0.25">
      <c r="A159" s="18" t="s">
        <v>144</v>
      </c>
      <c r="B159" s="20">
        <f>((B151+B154)-(E151+E154))/(B151+B154)</f>
        <v>0.45870532386428275</v>
      </c>
    </row>
    <row r="160" spans="1:8" s="18" customFormat="1" x14ac:dyDescent="0.25">
      <c r="A160" s="18" t="s">
        <v>156</v>
      </c>
      <c r="B160" s="21">
        <f>B156-E156</f>
        <v>4323.62218422755</v>
      </c>
    </row>
    <row r="161" spans="1:16" s="18" customFormat="1" x14ac:dyDescent="0.25"/>
    <row r="162" spans="1:16" s="18" customFormat="1" x14ac:dyDescent="0.25">
      <c r="A162" s="18" t="s">
        <v>312</v>
      </c>
      <c r="D162" s="18">
        <v>2021</v>
      </c>
      <c r="E162" s="18">
        <f>D162+1</f>
        <v>2022</v>
      </c>
      <c r="F162" s="18">
        <f t="shared" ref="F162:J162" si="54">E162+1</f>
        <v>2023</v>
      </c>
      <c r="G162" s="18">
        <f t="shared" si="54"/>
        <v>2024</v>
      </c>
      <c r="H162" s="18">
        <f t="shared" si="54"/>
        <v>2025</v>
      </c>
      <c r="I162" s="18">
        <f t="shared" si="54"/>
        <v>2026</v>
      </c>
      <c r="J162" s="18">
        <f t="shared" si="54"/>
        <v>2027</v>
      </c>
    </row>
    <row r="163" spans="1:16" s="18" customFormat="1" x14ac:dyDescent="0.25">
      <c r="A163" s="18" t="s">
        <v>98</v>
      </c>
      <c r="B163" s="18">
        <v>750</v>
      </c>
      <c r="C163" s="18" t="s">
        <v>247</v>
      </c>
      <c r="E163" s="18">
        <v>750</v>
      </c>
    </row>
    <row r="164" spans="1:16" s="18" customFormat="1" x14ac:dyDescent="0.25">
      <c r="C164" s="18" t="s">
        <v>70</v>
      </c>
      <c r="D164" s="18">
        <f>B163*0.05375</f>
        <v>40.3125</v>
      </c>
      <c r="E164" s="18">
        <f>D164/2</f>
        <v>20.15625</v>
      </c>
    </row>
    <row r="165" spans="1:16" s="18" customFormat="1" x14ac:dyDescent="0.25">
      <c r="A165" s="18" t="s">
        <v>101</v>
      </c>
      <c r="B165" s="18">
        <v>1000</v>
      </c>
      <c r="C165" s="18" t="s">
        <v>247</v>
      </c>
      <c r="G165" s="18">
        <v>1000</v>
      </c>
    </row>
    <row r="166" spans="1:16" s="18" customFormat="1" x14ac:dyDescent="0.25">
      <c r="C166" s="18" t="s">
        <v>70</v>
      </c>
      <c r="D166" s="18">
        <f>B165*0.085</f>
        <v>85</v>
      </c>
      <c r="E166" s="18">
        <v>85</v>
      </c>
      <c r="F166" s="18">
        <v>85</v>
      </c>
      <c r="G166" s="18">
        <f>F166/2</f>
        <v>42.5</v>
      </c>
    </row>
    <row r="167" spans="1:16" s="18" customFormat="1" x14ac:dyDescent="0.25">
      <c r="A167" s="18" t="s">
        <v>104</v>
      </c>
      <c r="B167" s="18">
        <v>1250</v>
      </c>
      <c r="C167" s="18" t="s">
        <v>247</v>
      </c>
      <c r="H167" s="18">
        <v>417</v>
      </c>
      <c r="I167" s="18">
        <v>417</v>
      </c>
      <c r="J167" s="18">
        <v>417</v>
      </c>
    </row>
    <row r="168" spans="1:16" s="18" customFormat="1" x14ac:dyDescent="0.25">
      <c r="C168" s="18" t="s">
        <v>70</v>
      </c>
      <c r="D168" s="18">
        <f>B167*0.0897</f>
        <v>112.125</v>
      </c>
      <c r="E168" s="18">
        <v>112.125</v>
      </c>
      <c r="F168" s="18">
        <v>112.125</v>
      </c>
      <c r="G168" s="18">
        <v>112.125</v>
      </c>
      <c r="H168" s="18">
        <f>(B167-(H167/2))*0.0897</f>
        <v>93.422550000000001</v>
      </c>
      <c r="I168" s="18">
        <f>(B167-H167-(I167/2))*0.0897</f>
        <v>56.017650000000003</v>
      </c>
      <c r="J168" s="18">
        <f>(B167-H167-I167-(J167/2))*0.0897</f>
        <v>18.612750000000002</v>
      </c>
    </row>
    <row r="169" spans="1:16" s="18" customFormat="1" x14ac:dyDescent="0.25">
      <c r="A169" s="18" t="s">
        <v>313</v>
      </c>
      <c r="B169" s="18">
        <f>SUM(B163:B168)</f>
        <v>3000</v>
      </c>
      <c r="D169" s="18">
        <f>SUM(D164:D168)/B169</f>
        <v>7.9145833333333332E-2</v>
      </c>
    </row>
    <row r="170" spans="1:16" s="18" customFormat="1" x14ac:dyDescent="0.25">
      <c r="A170" s="18" t="s">
        <v>14</v>
      </c>
      <c r="B170" s="20">
        <v>0.05</v>
      </c>
      <c r="C170" s="18" t="s">
        <v>314</v>
      </c>
      <c r="D170" s="18">
        <f>SUM(D163:D168)</f>
        <v>237.4375</v>
      </c>
      <c r="E170" s="18">
        <f t="shared" ref="E170:J170" si="55">SUM(E163:E168)</f>
        <v>967.28125</v>
      </c>
      <c r="F170" s="18">
        <f t="shared" si="55"/>
        <v>197.125</v>
      </c>
      <c r="G170" s="18">
        <f t="shared" si="55"/>
        <v>1154.625</v>
      </c>
      <c r="H170" s="18">
        <f t="shared" si="55"/>
        <v>510.42255</v>
      </c>
      <c r="I170" s="18">
        <f t="shared" si="55"/>
        <v>473.01765</v>
      </c>
      <c r="J170" s="18">
        <f t="shared" si="55"/>
        <v>435.61275000000001</v>
      </c>
    </row>
    <row r="171" spans="1:16" s="18" customFormat="1" x14ac:dyDescent="0.25"/>
    <row r="172" spans="1:16" s="18" customFormat="1" x14ac:dyDescent="0.25">
      <c r="B172" s="18" t="s">
        <v>15</v>
      </c>
      <c r="C172" s="37">
        <f>NPV(B170,D170:J170)</f>
        <v>3286.1647174408668</v>
      </c>
      <c r="E172" s="37"/>
      <c r="F172" s="37"/>
    </row>
    <row r="173" spans="1:16" s="18" customFormat="1" x14ac:dyDescent="0.25">
      <c r="C173" s="37"/>
      <c r="E173" s="37"/>
      <c r="F173" s="37"/>
    </row>
    <row r="174" spans="1:16" s="18" customFormat="1" x14ac:dyDescent="0.25">
      <c r="B174" s="18" t="s">
        <v>202</v>
      </c>
      <c r="C174" s="18" t="s">
        <v>203</v>
      </c>
      <c r="F174" s="18">
        <v>2020</v>
      </c>
      <c r="G174" s="18">
        <f>F174+1</f>
        <v>2021</v>
      </c>
      <c r="H174" s="18">
        <f t="shared" ref="H174:P174" si="56">G174+1</f>
        <v>2022</v>
      </c>
      <c r="I174" s="18">
        <f t="shared" si="56"/>
        <v>2023</v>
      </c>
      <c r="J174" s="18">
        <f t="shared" si="56"/>
        <v>2024</v>
      </c>
      <c r="K174" s="18">
        <f t="shared" si="56"/>
        <v>2025</v>
      </c>
      <c r="L174" s="18">
        <f t="shared" si="56"/>
        <v>2026</v>
      </c>
      <c r="M174" s="18">
        <f t="shared" si="56"/>
        <v>2027</v>
      </c>
      <c r="N174" s="18">
        <f t="shared" si="56"/>
        <v>2028</v>
      </c>
      <c r="O174" s="18">
        <f t="shared" si="56"/>
        <v>2029</v>
      </c>
      <c r="P174" s="18">
        <f t="shared" si="56"/>
        <v>2030</v>
      </c>
    </row>
    <row r="175" spans="1:16" s="18" customFormat="1" x14ac:dyDescent="0.25">
      <c r="A175" s="18" t="s">
        <v>204</v>
      </c>
      <c r="B175" s="18">
        <f>2912+286</f>
        <v>3198</v>
      </c>
      <c r="C175" s="38">
        <v>5.8999999999999997E-2</v>
      </c>
      <c r="E175" s="18" t="s">
        <v>69</v>
      </c>
      <c r="F175" s="18">
        <f>B175</f>
        <v>3198</v>
      </c>
      <c r="G175" s="18">
        <f>F175-F176</f>
        <v>3198</v>
      </c>
      <c r="H175" s="18">
        <f t="shared" ref="H175:P175" si="57">G175-H176</f>
        <v>2878.2</v>
      </c>
      <c r="I175" s="18">
        <f t="shared" si="57"/>
        <v>2558.3999999999996</v>
      </c>
      <c r="J175" s="18">
        <f t="shared" si="57"/>
        <v>2238.5999999999995</v>
      </c>
      <c r="K175" s="18">
        <f t="shared" si="57"/>
        <v>1918.7999999999995</v>
      </c>
      <c r="L175" s="18">
        <f t="shared" si="57"/>
        <v>1598.9999999999995</v>
      </c>
      <c r="M175" s="18">
        <f t="shared" si="57"/>
        <v>1279.1999999999996</v>
      </c>
      <c r="N175" s="18">
        <f t="shared" si="57"/>
        <v>959.39999999999964</v>
      </c>
      <c r="O175" s="18">
        <f t="shared" si="57"/>
        <v>639.59999999999968</v>
      </c>
      <c r="P175" s="18">
        <f t="shared" si="57"/>
        <v>319.79999999999967</v>
      </c>
    </row>
    <row r="176" spans="1:16" s="18" customFormat="1" x14ac:dyDescent="0.25">
      <c r="B176" s="18" t="s">
        <v>205</v>
      </c>
      <c r="C176" s="18" t="s">
        <v>206</v>
      </c>
      <c r="E176" s="18" t="s">
        <v>29</v>
      </c>
      <c r="F176" s="18">
        <v>0</v>
      </c>
      <c r="G176" s="18">
        <f>F175/10</f>
        <v>319.8</v>
      </c>
      <c r="H176" s="18">
        <f>G176</f>
        <v>319.8</v>
      </c>
      <c r="I176" s="18">
        <f t="shared" ref="I176:P176" si="58">H176</f>
        <v>319.8</v>
      </c>
      <c r="J176" s="18">
        <f t="shared" si="58"/>
        <v>319.8</v>
      </c>
      <c r="K176" s="18">
        <f t="shared" si="58"/>
        <v>319.8</v>
      </c>
      <c r="L176" s="18">
        <f t="shared" si="58"/>
        <v>319.8</v>
      </c>
      <c r="M176" s="18">
        <f t="shared" si="58"/>
        <v>319.8</v>
      </c>
      <c r="N176" s="18">
        <f t="shared" si="58"/>
        <v>319.8</v>
      </c>
      <c r="O176" s="18">
        <f t="shared" si="58"/>
        <v>319.8</v>
      </c>
      <c r="P176" s="18">
        <f t="shared" si="58"/>
        <v>319.8</v>
      </c>
    </row>
    <row r="177" spans="1:22" s="18" customFormat="1" x14ac:dyDescent="0.25">
      <c r="E177" s="18" t="s">
        <v>70</v>
      </c>
      <c r="F177" s="18">
        <f>F175*0.059</f>
        <v>188.68199999999999</v>
      </c>
      <c r="G177" s="18">
        <f t="shared" ref="G177:P177" si="59">G175*0.059</f>
        <v>188.68199999999999</v>
      </c>
      <c r="H177" s="18">
        <f t="shared" si="59"/>
        <v>169.81379999999999</v>
      </c>
      <c r="I177" s="18">
        <f t="shared" si="59"/>
        <v>150.94559999999998</v>
      </c>
      <c r="J177" s="18">
        <f t="shared" si="59"/>
        <v>132.07739999999995</v>
      </c>
      <c r="K177" s="18">
        <f t="shared" si="59"/>
        <v>113.20919999999997</v>
      </c>
      <c r="L177" s="18">
        <f t="shared" si="59"/>
        <v>94.340999999999966</v>
      </c>
      <c r="M177" s="18">
        <f t="shared" si="59"/>
        <v>75.472799999999978</v>
      </c>
      <c r="N177" s="18">
        <f t="shared" si="59"/>
        <v>56.604599999999976</v>
      </c>
      <c r="O177" s="18">
        <f t="shared" si="59"/>
        <v>37.736399999999982</v>
      </c>
      <c r="P177" s="18">
        <f t="shared" si="59"/>
        <v>18.86819999999998</v>
      </c>
    </row>
    <row r="178" spans="1:22" s="18" customFormat="1" x14ac:dyDescent="0.25"/>
    <row r="179" spans="1:22" s="18" customFormat="1" x14ac:dyDescent="0.25">
      <c r="B179" s="18" t="s">
        <v>14</v>
      </c>
      <c r="C179" s="18">
        <v>0.05</v>
      </c>
      <c r="E179" s="18" t="s">
        <v>13</v>
      </c>
      <c r="F179" s="18">
        <f>F176+F177</f>
        <v>188.68199999999999</v>
      </c>
      <c r="G179" s="18">
        <f t="shared" ref="G179:P179" si="60">G176+G177</f>
        <v>508.48199999999997</v>
      </c>
      <c r="H179" s="18">
        <f t="shared" si="60"/>
        <v>489.61379999999997</v>
      </c>
      <c r="I179" s="18">
        <f t="shared" si="60"/>
        <v>470.74559999999997</v>
      </c>
      <c r="J179" s="18">
        <f t="shared" si="60"/>
        <v>451.87739999999997</v>
      </c>
      <c r="K179" s="18">
        <f t="shared" si="60"/>
        <v>433.00919999999996</v>
      </c>
      <c r="L179" s="18">
        <f t="shared" si="60"/>
        <v>414.14099999999996</v>
      </c>
      <c r="M179" s="18">
        <f t="shared" si="60"/>
        <v>395.27279999999996</v>
      </c>
      <c r="N179" s="18">
        <f t="shared" si="60"/>
        <v>376.40459999999996</v>
      </c>
      <c r="O179" s="18">
        <f t="shared" si="60"/>
        <v>357.53640000000001</v>
      </c>
      <c r="P179" s="18">
        <f t="shared" si="60"/>
        <v>338.66820000000001</v>
      </c>
    </row>
    <row r="180" spans="1:22" s="18" customFormat="1" x14ac:dyDescent="0.25"/>
    <row r="181" spans="1:22" s="18" customFormat="1" x14ac:dyDescent="0.25">
      <c r="E181" s="18" t="s">
        <v>15</v>
      </c>
      <c r="F181" s="37">
        <f>NPV(C179,F179:P179)</f>
        <v>3350.3124290822902</v>
      </c>
    </row>
    <row r="182" spans="1:22" s="18" customFormat="1" x14ac:dyDescent="0.25"/>
    <row r="183" spans="1:22" s="18" customFormat="1" x14ac:dyDescent="0.25">
      <c r="A183" s="18" t="s">
        <v>17</v>
      </c>
      <c r="B183" s="18">
        <f>B44</f>
        <v>6300</v>
      </c>
      <c r="C183" s="18">
        <v>4.2000000000000003E-2</v>
      </c>
      <c r="F183" s="18">
        <v>2020</v>
      </c>
      <c r="G183" s="18">
        <f>F183+1</f>
        <v>2021</v>
      </c>
      <c r="H183" s="18">
        <f t="shared" ref="H183:P183" si="61">G183+1</f>
        <v>2022</v>
      </c>
      <c r="I183" s="18">
        <f t="shared" si="61"/>
        <v>2023</v>
      </c>
      <c r="J183" s="18">
        <f t="shared" si="61"/>
        <v>2024</v>
      </c>
      <c r="K183" s="18">
        <f t="shared" si="61"/>
        <v>2025</v>
      </c>
      <c r="L183" s="18">
        <f t="shared" si="61"/>
        <v>2026</v>
      </c>
      <c r="M183" s="18">
        <f t="shared" si="61"/>
        <v>2027</v>
      </c>
      <c r="N183" s="18">
        <f t="shared" si="61"/>
        <v>2028</v>
      </c>
      <c r="O183" s="18">
        <f t="shared" si="61"/>
        <v>2029</v>
      </c>
      <c r="P183" s="18">
        <f t="shared" si="61"/>
        <v>2030</v>
      </c>
      <c r="Q183" s="18">
        <f>P183+1</f>
        <v>2031</v>
      </c>
      <c r="R183" s="18">
        <f t="shared" ref="R183:V183" si="62">Q183+1</f>
        <v>2032</v>
      </c>
      <c r="S183" s="18">
        <f t="shared" si="62"/>
        <v>2033</v>
      </c>
      <c r="T183" s="18">
        <f t="shared" si="62"/>
        <v>2034</v>
      </c>
      <c r="U183" s="18">
        <f t="shared" si="62"/>
        <v>2035</v>
      </c>
      <c r="V183" s="18">
        <f t="shared" si="62"/>
        <v>2036</v>
      </c>
    </row>
    <row r="184" spans="1:22" s="18" customFormat="1" x14ac:dyDescent="0.25">
      <c r="E184" s="18" t="s">
        <v>69</v>
      </c>
      <c r="F184" s="18">
        <f>B183</f>
        <v>6300</v>
      </c>
      <c r="G184" s="18">
        <f>F184-F185</f>
        <v>6300</v>
      </c>
      <c r="H184" s="18">
        <f t="shared" ref="H184:U184" si="63">G184-H185</f>
        <v>5880</v>
      </c>
      <c r="I184" s="18">
        <f t="shared" si="63"/>
        <v>5460</v>
      </c>
      <c r="J184" s="18">
        <f t="shared" si="63"/>
        <v>5040</v>
      </c>
      <c r="K184" s="18">
        <f t="shared" si="63"/>
        <v>4620</v>
      </c>
      <c r="L184" s="18">
        <f t="shared" si="63"/>
        <v>4200</v>
      </c>
      <c r="M184" s="18">
        <f t="shared" si="63"/>
        <v>3780</v>
      </c>
      <c r="N184" s="18">
        <f t="shared" si="63"/>
        <v>3360</v>
      </c>
      <c r="O184" s="18">
        <f t="shared" si="63"/>
        <v>2940</v>
      </c>
      <c r="P184" s="18">
        <f t="shared" si="63"/>
        <v>2520</v>
      </c>
      <c r="Q184" s="18">
        <f t="shared" si="63"/>
        <v>2100</v>
      </c>
      <c r="R184" s="18">
        <f t="shared" si="63"/>
        <v>1680</v>
      </c>
      <c r="S184" s="18">
        <f t="shared" si="63"/>
        <v>1260</v>
      </c>
      <c r="T184" s="18">
        <f t="shared" si="63"/>
        <v>840</v>
      </c>
      <c r="U184" s="18">
        <f t="shared" si="63"/>
        <v>420</v>
      </c>
      <c r="V184" s="18">
        <v>0</v>
      </c>
    </row>
    <row r="185" spans="1:22" s="18" customFormat="1" x14ac:dyDescent="0.25">
      <c r="E185" s="18" t="s">
        <v>29</v>
      </c>
      <c r="F185" s="18">
        <v>0</v>
      </c>
      <c r="G185" s="18">
        <f>F184/15</f>
        <v>420</v>
      </c>
      <c r="H185" s="18">
        <f>G185</f>
        <v>420</v>
      </c>
      <c r="I185" s="18">
        <f t="shared" ref="I185:V185" si="64">H185</f>
        <v>420</v>
      </c>
      <c r="J185" s="18">
        <f t="shared" si="64"/>
        <v>420</v>
      </c>
      <c r="K185" s="18">
        <f t="shared" si="64"/>
        <v>420</v>
      </c>
      <c r="L185" s="18">
        <f t="shared" si="64"/>
        <v>420</v>
      </c>
      <c r="M185" s="18">
        <f t="shared" si="64"/>
        <v>420</v>
      </c>
      <c r="N185" s="18">
        <f t="shared" si="64"/>
        <v>420</v>
      </c>
      <c r="O185" s="18">
        <f t="shared" si="64"/>
        <v>420</v>
      </c>
      <c r="P185" s="18">
        <f t="shared" si="64"/>
        <v>420</v>
      </c>
      <c r="Q185" s="18">
        <f t="shared" si="64"/>
        <v>420</v>
      </c>
      <c r="R185" s="18">
        <f t="shared" si="64"/>
        <v>420</v>
      </c>
      <c r="S185" s="18">
        <f t="shared" si="64"/>
        <v>420</v>
      </c>
      <c r="T185" s="18">
        <f t="shared" si="64"/>
        <v>420</v>
      </c>
      <c r="U185" s="18">
        <f t="shared" si="64"/>
        <v>420</v>
      </c>
      <c r="V185" s="18">
        <f t="shared" si="64"/>
        <v>420</v>
      </c>
    </row>
    <row r="186" spans="1:22" s="18" customFormat="1" x14ac:dyDescent="0.25">
      <c r="E186" s="18" t="s">
        <v>70</v>
      </c>
      <c r="F186" s="18">
        <f>F184*0.042</f>
        <v>264.60000000000002</v>
      </c>
      <c r="G186" s="18">
        <f t="shared" ref="G186:V186" si="65">G184*0.042</f>
        <v>264.60000000000002</v>
      </c>
      <c r="H186" s="18">
        <f t="shared" si="65"/>
        <v>246.96</v>
      </c>
      <c r="I186" s="18">
        <f t="shared" si="65"/>
        <v>229.32000000000002</v>
      </c>
      <c r="J186" s="18">
        <f t="shared" si="65"/>
        <v>211.68</v>
      </c>
      <c r="K186" s="18">
        <f t="shared" si="65"/>
        <v>194.04000000000002</v>
      </c>
      <c r="L186" s="18">
        <f t="shared" si="65"/>
        <v>176.4</v>
      </c>
      <c r="M186" s="18">
        <f t="shared" si="65"/>
        <v>158.76000000000002</v>
      </c>
      <c r="N186" s="18">
        <f t="shared" si="65"/>
        <v>141.12</v>
      </c>
      <c r="O186" s="18">
        <f t="shared" si="65"/>
        <v>123.48</v>
      </c>
      <c r="P186" s="18">
        <f t="shared" si="65"/>
        <v>105.84</v>
      </c>
      <c r="Q186" s="18">
        <f t="shared" si="65"/>
        <v>88.2</v>
      </c>
      <c r="R186" s="18">
        <f t="shared" si="65"/>
        <v>70.56</v>
      </c>
      <c r="S186" s="18">
        <f t="shared" si="65"/>
        <v>52.92</v>
      </c>
      <c r="T186" s="18">
        <f t="shared" si="65"/>
        <v>35.28</v>
      </c>
      <c r="U186" s="18">
        <f t="shared" si="65"/>
        <v>17.64</v>
      </c>
      <c r="V186" s="18">
        <f t="shared" si="65"/>
        <v>0</v>
      </c>
    </row>
    <row r="187" spans="1:22" s="18" customFormat="1" x14ac:dyDescent="0.25"/>
    <row r="188" spans="1:22" s="18" customFormat="1" x14ac:dyDescent="0.25">
      <c r="E188" s="18" t="s">
        <v>13</v>
      </c>
      <c r="F188" s="18">
        <f>F185+F186</f>
        <v>264.60000000000002</v>
      </c>
      <c r="G188" s="18">
        <f t="shared" ref="G188:V188" si="66">G185+G186</f>
        <v>684.6</v>
      </c>
      <c r="H188" s="18">
        <f t="shared" si="66"/>
        <v>666.96</v>
      </c>
      <c r="I188" s="18">
        <f t="shared" si="66"/>
        <v>649.32000000000005</v>
      </c>
      <c r="J188" s="18">
        <f t="shared" si="66"/>
        <v>631.68000000000006</v>
      </c>
      <c r="K188" s="18">
        <f t="shared" si="66"/>
        <v>614.04</v>
      </c>
      <c r="L188" s="18">
        <f t="shared" si="66"/>
        <v>596.4</v>
      </c>
      <c r="M188" s="18">
        <f t="shared" si="66"/>
        <v>578.76</v>
      </c>
      <c r="N188" s="18">
        <f t="shared" si="66"/>
        <v>561.12</v>
      </c>
      <c r="O188" s="18">
        <f t="shared" si="66"/>
        <v>543.48</v>
      </c>
      <c r="P188" s="18">
        <f t="shared" si="66"/>
        <v>525.84</v>
      </c>
      <c r="Q188" s="18">
        <f t="shared" si="66"/>
        <v>508.2</v>
      </c>
      <c r="R188" s="18">
        <f t="shared" si="66"/>
        <v>490.56</v>
      </c>
      <c r="S188" s="18">
        <f t="shared" si="66"/>
        <v>472.92</v>
      </c>
      <c r="T188" s="18">
        <f t="shared" si="66"/>
        <v>455.28</v>
      </c>
      <c r="U188" s="18">
        <f t="shared" si="66"/>
        <v>437.64</v>
      </c>
      <c r="V188" s="18">
        <f t="shared" si="66"/>
        <v>420</v>
      </c>
    </row>
    <row r="189" spans="1:22" s="18" customFormat="1" x14ac:dyDescent="0.25"/>
    <row r="190" spans="1:22" s="18" customFormat="1" x14ac:dyDescent="0.25">
      <c r="E190" s="18" t="s">
        <v>15</v>
      </c>
      <c r="F190" s="37">
        <f>NPV(C179,F188:V188)</f>
        <v>6139.5427232401153</v>
      </c>
    </row>
  </sheetData>
  <hyperlinks>
    <hyperlink ref="N6" r:id="rId1" display="https://www.imf.org/en/Publications/CR/Issues/2024/06/26/Zambia-Third-Review-Under-the-Arrangement-Under-the-Extended-Credit-Facility-Requests-for-551111" xr:uid="{F6CA3655-62E0-4F07-A1B5-FA0D5FF67B82}"/>
    <hyperlink ref="N8" r:id="rId2" display="https://www.imf.org/en/Publications/CR/Issues/2024/06/26/Zambia-Third-Review-Under-the-Arrangement-Under-the-Extended-Credit-Facility-Requests-for-551111" xr:uid="{271144EB-8B7B-469C-AD69-4B7F647CD37D}"/>
    <hyperlink ref="C43" r:id="rId3" xr:uid="{1F6D35A9-D88B-4E2C-A933-C7105AE6296B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F3094-5390-4125-9864-DF2DA76A3F98}">
  <dimension ref="A1:J25"/>
  <sheetViews>
    <sheetView tabSelected="1" workbookViewId="0">
      <selection activeCell="I30" sqref="I30"/>
    </sheetView>
  </sheetViews>
  <sheetFormatPr defaultRowHeight="15" x14ac:dyDescent="0.25"/>
  <cols>
    <col min="2" max="2" width="12" bestFit="1" customWidth="1"/>
  </cols>
  <sheetData>
    <row r="1" spans="1:8" s="13" customFormat="1" x14ac:dyDescent="0.25">
      <c r="A1" s="12" t="s">
        <v>317</v>
      </c>
    </row>
    <row r="2" spans="1:8" s="13" customFormat="1" x14ac:dyDescent="0.25">
      <c r="B2" s="13" t="s">
        <v>0</v>
      </c>
      <c r="C2" s="13" t="s">
        <v>53</v>
      </c>
      <c r="D2" s="13" t="s">
        <v>157</v>
      </c>
      <c r="E2" s="13" t="s">
        <v>210</v>
      </c>
      <c r="F2" s="13" t="s">
        <v>266</v>
      </c>
      <c r="G2" s="13" t="s">
        <v>278</v>
      </c>
      <c r="H2" s="13" t="s">
        <v>147</v>
      </c>
    </row>
    <row r="3" spans="1:8" s="13" customFormat="1" x14ac:dyDescent="0.25">
      <c r="A3" s="13" t="s">
        <v>315</v>
      </c>
      <c r="B3" s="27">
        <f>Chad!B54</f>
        <v>140.42183535032086</v>
      </c>
      <c r="C3" s="27">
        <f>Ghana!B140</f>
        <v>2815.3971881494053</v>
      </c>
      <c r="D3" s="27">
        <f>'Sri Lanka'!B373</f>
        <v>3625.7621541502008</v>
      </c>
      <c r="E3" s="27">
        <f>Suriname!B136</f>
        <v>542.09942090634559</v>
      </c>
      <c r="F3" s="27">
        <f>Ukraine!B159</f>
        <v>6030.7551221403592</v>
      </c>
      <c r="G3" s="27">
        <f>Zambia!B141</f>
        <v>885.60412484867607</v>
      </c>
      <c r="H3" s="27">
        <f>SUM(B3:G3)</f>
        <v>14040.039845545307</v>
      </c>
    </row>
    <row r="4" spans="1:8" s="13" customFormat="1" x14ac:dyDescent="0.25">
      <c r="A4" s="13" t="s">
        <v>316</v>
      </c>
      <c r="B4" s="27">
        <f>Chad!C51</f>
        <v>1539</v>
      </c>
      <c r="C4" s="27">
        <f>Ghana!B141</f>
        <v>10203.71975</v>
      </c>
      <c r="D4" s="27">
        <f>'Sri Lanka'!B374</f>
        <v>9538</v>
      </c>
      <c r="E4" s="27">
        <f>Suriname!B137</f>
        <v>675</v>
      </c>
      <c r="F4" s="27">
        <f>Ukraine!B160</f>
        <v>12169.484375</v>
      </c>
      <c r="G4" s="27">
        <f>Zambia!B142</f>
        <v>2346.25</v>
      </c>
      <c r="H4" s="27">
        <f>SUM(B4:G4)</f>
        <v>36471.454125000004</v>
      </c>
    </row>
    <row r="5" spans="1:8" s="13" customFormat="1" x14ac:dyDescent="0.25">
      <c r="A5" s="13" t="s">
        <v>326</v>
      </c>
      <c r="B5" s="16">
        <f t="shared" ref="B5:H5" si="0">B3/B4</f>
        <v>9.1242258187342995E-2</v>
      </c>
      <c r="C5" s="16">
        <f t="shared" si="0"/>
        <v>0.27591870975772392</v>
      </c>
      <c r="D5" s="16">
        <f t="shared" si="0"/>
        <v>0.38013861964250373</v>
      </c>
      <c r="E5" s="16">
        <f t="shared" si="0"/>
        <v>0.80311025319458607</v>
      </c>
      <c r="F5" s="16">
        <f t="shared" si="0"/>
        <v>0.49556373436243961</v>
      </c>
      <c r="G5" s="16">
        <f t="shared" si="0"/>
        <v>0.37745514111824235</v>
      </c>
      <c r="H5" s="16">
        <f t="shared" si="0"/>
        <v>0.38495969470878083</v>
      </c>
    </row>
    <row r="6" spans="1:8" s="13" customFormat="1" x14ac:dyDescent="0.25"/>
    <row r="7" spans="1:8" s="13" customFormat="1" x14ac:dyDescent="0.25">
      <c r="A7" s="12" t="s">
        <v>318</v>
      </c>
    </row>
    <row r="8" spans="1:8" s="13" customFormat="1" x14ac:dyDescent="0.25">
      <c r="B8" s="13" t="s">
        <v>0</v>
      </c>
      <c r="C8" s="13" t="s">
        <v>53</v>
      </c>
      <c r="D8" s="13" t="s">
        <v>157</v>
      </c>
      <c r="E8" s="13" t="s">
        <v>210</v>
      </c>
      <c r="F8" s="13" t="s">
        <v>266</v>
      </c>
      <c r="G8" s="13" t="s">
        <v>278</v>
      </c>
      <c r="H8" s="13" t="s">
        <v>147</v>
      </c>
    </row>
    <row r="9" spans="1:8" s="13" customFormat="1" x14ac:dyDescent="0.25">
      <c r="A9" s="13" t="s">
        <v>319</v>
      </c>
      <c r="B9" s="27">
        <f>Chad!B54</f>
        <v>140.42183535032086</v>
      </c>
      <c r="C9" s="27">
        <f>Ghana!B99</f>
        <v>241.57504521829105</v>
      </c>
      <c r="D9" s="27">
        <f>'Sri Lanka'!B277</f>
        <v>421.70146565572031</v>
      </c>
      <c r="E9" s="27">
        <f>Suriname!B133</f>
        <v>328.28834153734607</v>
      </c>
      <c r="F9" s="27">
        <f>Ukraine!B50</f>
        <v>890.22476470425318</v>
      </c>
      <c r="G9" s="27">
        <f>Zambia!B108</f>
        <v>127.13533574344729</v>
      </c>
      <c r="H9" s="27">
        <f>SUM(B9:G9)</f>
        <v>2149.3467882093787</v>
      </c>
    </row>
    <row r="10" spans="1:8" s="13" customFormat="1" x14ac:dyDescent="0.25">
      <c r="A10" s="13" t="s">
        <v>320</v>
      </c>
      <c r="B10" s="27">
        <f>Chad!C51</f>
        <v>1539</v>
      </c>
      <c r="C10" s="27">
        <f>Ghana!B98</f>
        <v>13120.0995</v>
      </c>
      <c r="D10" s="27">
        <f>'Sri Lanka'!B276</f>
        <v>12550</v>
      </c>
      <c r="E10" s="27">
        <f>Suriname!B137</f>
        <v>675</v>
      </c>
      <c r="F10" s="27">
        <f>Ukraine!B49</f>
        <v>19471.174999999999</v>
      </c>
      <c r="G10" s="27">
        <f>Zambia!C106</f>
        <v>3000</v>
      </c>
      <c r="H10" s="27">
        <f>SUM(B10:G10)</f>
        <v>50355.2745</v>
      </c>
    </row>
    <row r="11" spans="1:8" s="13" customFormat="1" x14ac:dyDescent="0.25">
      <c r="A11" s="13" t="s">
        <v>325</v>
      </c>
      <c r="B11" s="16">
        <f t="shared" ref="B11:H11" si="1">B9/B10</f>
        <v>9.1242258187342995E-2</v>
      </c>
      <c r="C11" s="16">
        <f t="shared" si="1"/>
        <v>1.8412592466870471E-2</v>
      </c>
      <c r="D11" s="16">
        <f t="shared" si="1"/>
        <v>3.3601710410814369E-2</v>
      </c>
      <c r="E11" s="16">
        <f t="shared" si="1"/>
        <v>0.48635309857384601</v>
      </c>
      <c r="F11" s="16">
        <f t="shared" si="1"/>
        <v>4.5720135775280807E-2</v>
      </c>
      <c r="G11" s="16">
        <f t="shared" si="1"/>
        <v>4.2378445247815762E-2</v>
      </c>
      <c r="H11" s="16">
        <f t="shared" si="1"/>
        <v>4.2683647533474943E-2</v>
      </c>
    </row>
    <row r="12" spans="1:8" s="13" customFormat="1" x14ac:dyDescent="0.25"/>
    <row r="13" spans="1:8" s="13" customFormat="1" x14ac:dyDescent="0.25">
      <c r="A13" s="12" t="s">
        <v>321</v>
      </c>
    </row>
    <row r="14" spans="1:8" s="13" customFormat="1" x14ac:dyDescent="0.25">
      <c r="B14" s="13" t="s">
        <v>0</v>
      </c>
      <c r="C14" s="13" t="s">
        <v>53</v>
      </c>
      <c r="D14" s="13" t="s">
        <v>157</v>
      </c>
      <c r="E14" s="13" t="s">
        <v>210</v>
      </c>
      <c r="F14" s="13" t="s">
        <v>266</v>
      </c>
      <c r="G14" s="13" t="s">
        <v>278</v>
      </c>
      <c r="H14" s="13" t="s">
        <v>147</v>
      </c>
    </row>
    <row r="15" spans="1:8" s="13" customFormat="1" x14ac:dyDescent="0.25">
      <c r="A15" s="13" t="s">
        <v>322</v>
      </c>
      <c r="B15" s="27">
        <f>Chad!B54</f>
        <v>140.42183535032086</v>
      </c>
      <c r="C15" s="27">
        <f>Ghana!B137</f>
        <v>5389.2193310805196</v>
      </c>
      <c r="D15" s="27">
        <f>'Sri Lanka'!B338</f>
        <v>7050.6707102518812</v>
      </c>
      <c r="E15" s="27">
        <f>Suriname!B134</f>
        <v>755.91050027534516</v>
      </c>
      <c r="F15" s="27">
        <f>Ukraine!B156</f>
        <v>11074.315397999981</v>
      </c>
      <c r="G15" s="27">
        <f>Zambia!B139</f>
        <v>1669.777424456357</v>
      </c>
      <c r="H15" s="27">
        <f>SUM(B15:G15)</f>
        <v>26080.315199414406</v>
      </c>
    </row>
    <row r="16" spans="1:8" s="13" customFormat="1" x14ac:dyDescent="0.25">
      <c r="A16" s="13" t="s">
        <v>323</v>
      </c>
      <c r="B16" s="27">
        <f>Chad!C51</f>
        <v>1539</v>
      </c>
      <c r="C16" s="27">
        <f>Ghana!B136</f>
        <v>7287.34</v>
      </c>
      <c r="D16" s="27">
        <f>'Sri Lanka'!B337</f>
        <v>6526</v>
      </c>
      <c r="E16" s="27">
        <f>Suriname!B137</f>
        <v>675</v>
      </c>
      <c r="F16" s="27">
        <f>Ukraine!B155</f>
        <v>4867.7937499999998</v>
      </c>
      <c r="G16" s="27">
        <f>Zambia!B137</f>
        <v>1692.5</v>
      </c>
      <c r="H16" s="27">
        <f>SUM(B16:G16)</f>
        <v>22587.633750000001</v>
      </c>
    </row>
    <row r="17" spans="1:10" s="13" customFormat="1" x14ac:dyDescent="0.25">
      <c r="A17" s="13" t="s">
        <v>324</v>
      </c>
      <c r="B17" s="16">
        <f t="shared" ref="B17:H17" si="2">B15/B16</f>
        <v>9.1242258187342995E-2</v>
      </c>
      <c r="C17" s="16">
        <f t="shared" si="2"/>
        <v>0.73953175384715408</v>
      </c>
      <c r="D17" s="16">
        <f t="shared" si="2"/>
        <v>1.0803969828764759</v>
      </c>
      <c r="E17" s="16">
        <f t="shared" si="2"/>
        <v>1.1198674078153261</v>
      </c>
      <c r="F17" s="16">
        <f t="shared" si="2"/>
        <v>2.2750173829776541</v>
      </c>
      <c r="G17" s="16">
        <f t="shared" si="2"/>
        <v>0.9865745491618062</v>
      </c>
      <c r="H17" s="16">
        <f t="shared" si="2"/>
        <v>1.154628036210938</v>
      </c>
    </row>
    <row r="19" spans="1:10" s="18" customFormat="1" x14ac:dyDescent="0.25">
      <c r="A19" s="17" t="s">
        <v>426</v>
      </c>
    </row>
    <row r="20" spans="1:10" s="18" customFormat="1" x14ac:dyDescent="0.25">
      <c r="B20" s="18" t="s">
        <v>0</v>
      </c>
      <c r="C20" s="18" t="s">
        <v>53</v>
      </c>
      <c r="D20" s="18" t="s">
        <v>157</v>
      </c>
      <c r="E20" s="18" t="s">
        <v>210</v>
      </c>
      <c r="F20" s="18" t="s">
        <v>266</v>
      </c>
      <c r="G20" s="18" t="s">
        <v>278</v>
      </c>
      <c r="H20" s="18" t="s">
        <v>147</v>
      </c>
      <c r="I20" s="18" t="s">
        <v>430</v>
      </c>
      <c r="J20" s="18" t="s">
        <v>431</v>
      </c>
    </row>
    <row r="21" spans="1:10" s="18" customFormat="1" x14ac:dyDescent="0.25">
      <c r="A21" s="18" t="s">
        <v>427</v>
      </c>
      <c r="B21" s="18">
        <f>Chad!B59</f>
        <v>2352</v>
      </c>
      <c r="C21" s="26">
        <f>Ghana!B156</f>
        <v>29920</v>
      </c>
      <c r="D21" s="26">
        <f>'Sri Lanka'!B388</f>
        <v>37487</v>
      </c>
      <c r="E21" s="26">
        <f>Suriname!B154</f>
        <v>2399</v>
      </c>
      <c r="F21" s="26">
        <f>Ukraine!B174</f>
        <v>56555</v>
      </c>
      <c r="G21" s="26">
        <f>Zambia!B156</f>
        <v>15097</v>
      </c>
      <c r="H21" s="18">
        <f>SUM(B21:G21)</f>
        <v>143810</v>
      </c>
      <c r="I21" s="18">
        <f>H21-H22</f>
        <v>32126.082388776471</v>
      </c>
      <c r="J21" s="18">
        <f>H21-H23</f>
        <v>37079.06623407673</v>
      </c>
    </row>
    <row r="22" spans="1:10" s="18" customFormat="1" x14ac:dyDescent="0.25">
      <c r="A22" s="18" t="s">
        <v>428</v>
      </c>
      <c r="B22" s="18">
        <f>B21</f>
        <v>2352</v>
      </c>
      <c r="C22" s="21">
        <f>Ghana!E156</f>
        <v>20637.577842445156</v>
      </c>
      <c r="D22" s="26">
        <f>'Sri Lanka'!E388</f>
        <v>31172.746549542921</v>
      </c>
      <c r="E22" s="26">
        <f>Suriname!E154</f>
        <v>2234.3291472952969</v>
      </c>
      <c r="F22" s="26">
        <f>Ukraine!E174</f>
        <v>44513.886256167709</v>
      </c>
      <c r="G22" s="26">
        <f>Zambia!E156</f>
        <v>10773.37781577245</v>
      </c>
      <c r="H22" s="18">
        <f>SUM(B22:G22)</f>
        <v>111683.91761122353</v>
      </c>
    </row>
    <row r="23" spans="1:10" s="18" customFormat="1" x14ac:dyDescent="0.25">
      <c r="A23" s="18" t="s">
        <v>429</v>
      </c>
      <c r="B23" s="18">
        <f>B22</f>
        <v>2352</v>
      </c>
      <c r="C23" s="21">
        <f>Ghana!E151+Ghana!F152+Ghana!E154+Ghana!E155</f>
        <v>19105.698389611203</v>
      </c>
      <c r="D23" s="26">
        <f>'Sri Lanka'!E383+'Sri Lanka'!F384+'Sri Lanka'!E386+'Sri Lanka'!E387</f>
        <v>30382.268146507889</v>
      </c>
      <c r="E23" s="21">
        <f>Suriname!E149+Suriname!F150+Suriname!E152+Suriname!E153</f>
        <v>2218.5304670558926</v>
      </c>
      <c r="F23" s="21">
        <f>Ukraine!E169+Ukraine!F170+Ukraine!E172+Ukraine!E173</f>
        <v>43329.8396912678</v>
      </c>
      <c r="G23" s="21">
        <f>Zambia!E151+Zambia!F152+Zambia!E154+Zambia!E155</f>
        <v>9342.5970714804898</v>
      </c>
      <c r="H23" s="18">
        <f>SUM(B23:G23)</f>
        <v>106730.93376592327</v>
      </c>
    </row>
    <row r="24" spans="1:10" s="18" customFormat="1" x14ac:dyDescent="0.25">
      <c r="A24" s="18" t="s">
        <v>430</v>
      </c>
      <c r="B24" s="20">
        <v>0</v>
      </c>
      <c r="C24" s="20">
        <f>(C21-C22)/C21</f>
        <v>0.31024138227121806</v>
      </c>
      <c r="D24" s="20">
        <f t="shared" ref="D24:H24" si="3">(D21-D22)/D21</f>
        <v>0.16843848401998238</v>
      </c>
      <c r="E24" s="20">
        <f t="shared" si="3"/>
        <v>6.8641455900251377E-2</v>
      </c>
      <c r="F24" s="20">
        <f t="shared" si="3"/>
        <v>0.21290980008544411</v>
      </c>
      <c r="G24" s="20">
        <f t="shared" si="3"/>
        <v>0.28638949355683579</v>
      </c>
      <c r="H24" s="20">
        <f t="shared" si="3"/>
        <v>0.22339254842345088</v>
      </c>
      <c r="I24" s="20">
        <f>AVERAGE(B24:H24)</f>
        <v>0.18143045203674038</v>
      </c>
    </row>
    <row r="25" spans="1:10" s="18" customFormat="1" x14ac:dyDescent="0.25">
      <c r="A25" s="18" t="s">
        <v>431</v>
      </c>
      <c r="B25" s="20">
        <v>0</v>
      </c>
      <c r="C25" s="20">
        <f>(C21-C23)/C21</f>
        <v>0.36144056184454537</v>
      </c>
      <c r="D25" s="20">
        <f t="shared" ref="D25:H25" si="4">(D21-D23)/D21</f>
        <v>0.18952521816875478</v>
      </c>
      <c r="E25" s="20">
        <f t="shared" si="4"/>
        <v>7.5226983303087705E-2</v>
      </c>
      <c r="F25" s="20">
        <f t="shared" si="4"/>
        <v>0.23384599608756432</v>
      </c>
      <c r="G25" s="20">
        <f t="shared" si="4"/>
        <v>0.38116201420941315</v>
      </c>
      <c r="H25" s="20">
        <f t="shared" si="4"/>
        <v>0.25783371277433231</v>
      </c>
      <c r="I25" s="20">
        <f>AVERAGE(B25:H25)</f>
        <v>0.21414778376967109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FC5F1-11A5-46B8-9967-F0A776A59E5E}">
  <dimension ref="A1:F90"/>
  <sheetViews>
    <sheetView topLeftCell="A46" workbookViewId="0">
      <selection activeCell="H10" sqref="H10"/>
    </sheetView>
  </sheetViews>
  <sheetFormatPr defaultRowHeight="15" x14ac:dyDescent="0.25"/>
  <cols>
    <col min="6" max="6" width="12" bestFit="1" customWidth="1"/>
  </cols>
  <sheetData>
    <row r="1" spans="1:6" s="4" customFormat="1" x14ac:dyDescent="0.25">
      <c r="A1" s="3" t="s">
        <v>328</v>
      </c>
      <c r="F1" s="4" t="s">
        <v>410</v>
      </c>
    </row>
    <row r="2" spans="1:6" s="4" customFormat="1" x14ac:dyDescent="0.25">
      <c r="B2" s="4">
        <v>2023</v>
      </c>
      <c r="C2" s="4">
        <f>B2+1</f>
        <v>2024</v>
      </c>
      <c r="D2" s="4" t="s">
        <v>411</v>
      </c>
    </row>
    <row r="3" spans="1:6" s="4" customFormat="1" x14ac:dyDescent="0.25">
      <c r="A3" s="4" t="s">
        <v>157</v>
      </c>
      <c r="B3" s="5">
        <v>86.380332725683047</v>
      </c>
      <c r="C3" s="5">
        <v>43.506098214176831</v>
      </c>
      <c r="D3" s="5">
        <f t="shared" ref="D3:D34" si="0">AVERAGE(B3:B3)</f>
        <v>86.380332725683047</v>
      </c>
      <c r="E3" s="4">
        <v>1</v>
      </c>
    </row>
    <row r="4" spans="1:6" s="4" customFormat="1" x14ac:dyDescent="0.25">
      <c r="A4" s="4" t="s">
        <v>367</v>
      </c>
      <c r="B4" s="5">
        <v>75.39292552422836</v>
      </c>
      <c r="C4" s="5">
        <v>62.84097966342361</v>
      </c>
      <c r="D4" s="5">
        <f t="shared" si="0"/>
        <v>75.39292552422836</v>
      </c>
      <c r="E4" s="4">
        <f>E3+1</f>
        <v>2</v>
      </c>
    </row>
    <row r="5" spans="1:6" s="4" customFormat="1" x14ac:dyDescent="0.25">
      <c r="A5" s="4" t="s">
        <v>330</v>
      </c>
      <c r="B5" s="5">
        <v>60.212799029354358</v>
      </c>
      <c r="C5" s="5">
        <v>59.820521480297494</v>
      </c>
      <c r="D5" s="5">
        <f t="shared" si="0"/>
        <v>60.212799029354358</v>
      </c>
      <c r="E5" s="4">
        <f t="shared" ref="E5:E68" si="1">E4+1</f>
        <v>3</v>
      </c>
    </row>
    <row r="6" spans="1:6" s="4" customFormat="1" x14ac:dyDescent="0.25">
      <c r="A6" s="4" t="s">
        <v>408</v>
      </c>
      <c r="B6" s="5">
        <v>54.629029314301704</v>
      </c>
      <c r="C6" s="5">
        <v>30.589192930011833</v>
      </c>
      <c r="D6" s="5">
        <f t="shared" si="0"/>
        <v>54.629029314301704</v>
      </c>
      <c r="E6" s="4">
        <f t="shared" si="1"/>
        <v>4</v>
      </c>
    </row>
    <row r="7" spans="1:6" s="4" customFormat="1" x14ac:dyDescent="0.25">
      <c r="A7" s="4" t="s">
        <v>371</v>
      </c>
      <c r="B7" s="5">
        <v>46.9</v>
      </c>
      <c r="C7" s="5">
        <v>25.4</v>
      </c>
      <c r="D7" s="5">
        <f t="shared" si="0"/>
        <v>46.9</v>
      </c>
      <c r="E7" s="4">
        <f t="shared" si="1"/>
        <v>5</v>
      </c>
    </row>
    <row r="8" spans="1:6" s="4" customFormat="1" x14ac:dyDescent="0.25">
      <c r="A8" s="4" t="s">
        <v>384</v>
      </c>
      <c r="B8" s="5">
        <v>45.749388268641503</v>
      </c>
      <c r="C8" s="5">
        <v>38.163791307870468</v>
      </c>
      <c r="D8" s="5">
        <f t="shared" si="0"/>
        <v>45.749388268641503</v>
      </c>
      <c r="E8" s="4">
        <f t="shared" si="1"/>
        <v>6</v>
      </c>
    </row>
    <row r="9" spans="1:6" s="4" customFormat="1" x14ac:dyDescent="0.25">
      <c r="A9" s="4" t="s">
        <v>346</v>
      </c>
      <c r="B9" s="5">
        <v>38.869428275451341</v>
      </c>
      <c r="C9" s="5">
        <v>37.828739862594276</v>
      </c>
      <c r="D9" s="5">
        <f t="shared" si="0"/>
        <v>38.869428275451341</v>
      </c>
      <c r="E9" s="4">
        <f t="shared" si="1"/>
        <v>7</v>
      </c>
    </row>
    <row r="10" spans="1:6" s="4" customFormat="1" x14ac:dyDescent="0.25">
      <c r="A10" s="4" t="s">
        <v>210</v>
      </c>
      <c r="B10" s="5">
        <v>33.6934662007735</v>
      </c>
      <c r="C10" s="5">
        <v>30.745650509797141</v>
      </c>
      <c r="D10" s="5">
        <f t="shared" si="0"/>
        <v>33.6934662007735</v>
      </c>
      <c r="E10" s="4">
        <f t="shared" si="1"/>
        <v>8</v>
      </c>
    </row>
    <row r="11" spans="1:6" s="4" customFormat="1" x14ac:dyDescent="0.25">
      <c r="A11" s="4" t="s">
        <v>397</v>
      </c>
      <c r="B11" s="5">
        <v>33.053328222421761</v>
      </c>
      <c r="C11" s="5">
        <v>16.562314495601616</v>
      </c>
      <c r="D11" s="5">
        <f t="shared" si="0"/>
        <v>33.053328222421761</v>
      </c>
      <c r="E11" s="4">
        <f t="shared" si="1"/>
        <v>9</v>
      </c>
    </row>
    <row r="12" spans="1:6" s="4" customFormat="1" x14ac:dyDescent="0.25">
      <c r="A12" s="4" t="s">
        <v>375</v>
      </c>
      <c r="B12" s="5">
        <v>32.615931271937001</v>
      </c>
      <c r="C12" s="5">
        <v>15.204602922859447</v>
      </c>
      <c r="D12" s="5">
        <f t="shared" si="0"/>
        <v>32.615931271937001</v>
      </c>
      <c r="E12" s="4">
        <f t="shared" si="1"/>
        <v>10</v>
      </c>
    </row>
    <row r="13" spans="1:6" s="4" customFormat="1" x14ac:dyDescent="0.25">
      <c r="A13" s="4" t="s">
        <v>278</v>
      </c>
      <c r="B13" s="5">
        <v>32.56610074822985</v>
      </c>
      <c r="C13" s="5">
        <v>43.457759059650613</v>
      </c>
      <c r="D13" s="5">
        <f t="shared" si="0"/>
        <v>32.56610074822985</v>
      </c>
      <c r="E13" s="4">
        <f t="shared" si="1"/>
        <v>11</v>
      </c>
    </row>
    <row r="14" spans="1:6" s="4" customFormat="1" x14ac:dyDescent="0.25">
      <c r="A14" s="4" t="s">
        <v>334</v>
      </c>
      <c r="B14" s="5">
        <v>31.106200136132578</v>
      </c>
      <c r="C14" s="5">
        <v>39.964603674889723</v>
      </c>
      <c r="D14" s="5">
        <f t="shared" si="0"/>
        <v>31.106200136132578</v>
      </c>
      <c r="E14" s="4">
        <f t="shared" si="1"/>
        <v>12</v>
      </c>
    </row>
    <row r="15" spans="1:6" s="4" customFormat="1" x14ac:dyDescent="0.25">
      <c r="A15" s="4" t="s">
        <v>349</v>
      </c>
      <c r="B15" s="5">
        <v>26.292795641566752</v>
      </c>
      <c r="C15" s="5">
        <v>38.817553339765674</v>
      </c>
      <c r="D15" s="5">
        <f t="shared" si="0"/>
        <v>26.292795641566752</v>
      </c>
      <c r="E15" s="4">
        <f t="shared" si="1"/>
        <v>13</v>
      </c>
    </row>
    <row r="16" spans="1:6" s="4" customFormat="1" x14ac:dyDescent="0.25">
      <c r="A16" s="4" t="s">
        <v>53</v>
      </c>
      <c r="B16" s="5">
        <v>25.906388351694847</v>
      </c>
      <c r="C16" s="5">
        <v>23.507365624672996</v>
      </c>
      <c r="D16" s="5">
        <f t="shared" si="0"/>
        <v>25.906388351694847</v>
      </c>
      <c r="E16" s="4">
        <f t="shared" si="1"/>
        <v>14</v>
      </c>
    </row>
    <row r="17" spans="1:6" s="4" customFormat="1" x14ac:dyDescent="0.25">
      <c r="A17" s="4" t="s">
        <v>345</v>
      </c>
      <c r="B17" s="5">
        <v>25.593109637792477</v>
      </c>
      <c r="C17" s="5">
        <v>25.024805568093907</v>
      </c>
      <c r="D17" s="5">
        <f t="shared" si="0"/>
        <v>25.593109637792477</v>
      </c>
      <c r="E17" s="4">
        <f t="shared" si="1"/>
        <v>15</v>
      </c>
    </row>
    <row r="18" spans="1:6" s="4" customFormat="1" x14ac:dyDescent="0.25">
      <c r="A18" s="4" t="s">
        <v>403</v>
      </c>
      <c r="B18" s="5">
        <v>25.449442117941768</v>
      </c>
      <c r="C18" s="5">
        <v>31.364046203690659</v>
      </c>
      <c r="D18" s="5">
        <f t="shared" si="0"/>
        <v>25.449442117941768</v>
      </c>
      <c r="E18" s="4">
        <f t="shared" si="1"/>
        <v>16</v>
      </c>
    </row>
    <row r="19" spans="1:6" s="4" customFormat="1" x14ac:dyDescent="0.25">
      <c r="A19" s="4" t="s">
        <v>352</v>
      </c>
      <c r="B19" s="5">
        <v>25.265192801859261</v>
      </c>
      <c r="C19" s="5">
        <v>25.028959325114151</v>
      </c>
      <c r="D19" s="5">
        <f t="shared" si="0"/>
        <v>25.265192801859261</v>
      </c>
      <c r="E19" s="4">
        <f t="shared" si="1"/>
        <v>17</v>
      </c>
    </row>
    <row r="20" spans="1:6" s="4" customFormat="1" x14ac:dyDescent="0.25">
      <c r="A20" s="4" t="s">
        <v>344</v>
      </c>
      <c r="B20" s="5">
        <v>25.105486179322988</v>
      </c>
      <c r="C20" s="5">
        <v>20.7524333264459</v>
      </c>
      <c r="D20" s="5">
        <f t="shared" si="0"/>
        <v>25.105486179322988</v>
      </c>
      <c r="E20" s="4">
        <f t="shared" si="1"/>
        <v>18</v>
      </c>
    </row>
    <row r="21" spans="1:6" s="4" customFormat="1" x14ac:dyDescent="0.25">
      <c r="A21" s="4" t="s">
        <v>340</v>
      </c>
      <c r="B21" s="5">
        <v>24.032481785583997</v>
      </c>
      <c r="C21" s="5">
        <v>21.459046362640567</v>
      </c>
      <c r="D21" s="5">
        <f t="shared" si="0"/>
        <v>24.032481785583997</v>
      </c>
      <c r="E21" s="4">
        <f t="shared" si="1"/>
        <v>19</v>
      </c>
    </row>
    <row r="22" spans="1:6" s="4" customFormat="1" x14ac:dyDescent="0.25">
      <c r="A22" s="4" t="s">
        <v>333</v>
      </c>
      <c r="B22" s="5">
        <v>23.95255456708124</v>
      </c>
      <c r="C22" s="5">
        <v>27.282922224322387</v>
      </c>
      <c r="D22" s="5">
        <f t="shared" si="0"/>
        <v>23.95255456708124</v>
      </c>
      <c r="E22" s="4">
        <f t="shared" si="1"/>
        <v>20</v>
      </c>
    </row>
    <row r="23" spans="1:6" s="4" customFormat="1" x14ac:dyDescent="0.25">
      <c r="A23" s="4" t="s">
        <v>354</v>
      </c>
      <c r="B23" s="5">
        <v>23.490646963563744</v>
      </c>
      <c r="C23" s="5">
        <v>22.285865473642112</v>
      </c>
      <c r="D23" s="5">
        <f t="shared" si="0"/>
        <v>23.490646963563744</v>
      </c>
      <c r="E23" s="4">
        <f t="shared" si="1"/>
        <v>21</v>
      </c>
    </row>
    <row r="24" spans="1:6" s="4" customFormat="1" x14ac:dyDescent="0.25">
      <c r="A24" s="4" t="s">
        <v>390</v>
      </c>
      <c r="B24" s="5">
        <v>23.228408920237555</v>
      </c>
      <c r="C24" s="5">
        <v>25.757602933433194</v>
      </c>
      <c r="D24" s="5">
        <f t="shared" si="0"/>
        <v>23.228408920237555</v>
      </c>
      <c r="E24" s="4">
        <f t="shared" si="1"/>
        <v>22</v>
      </c>
    </row>
    <row r="25" spans="1:6" s="4" customFormat="1" x14ac:dyDescent="0.25">
      <c r="A25" s="4" t="s">
        <v>374</v>
      </c>
      <c r="B25" s="5">
        <v>23.183159035761129</v>
      </c>
      <c r="C25" s="5">
        <v>21.238992577658152</v>
      </c>
      <c r="D25" s="5">
        <f t="shared" si="0"/>
        <v>23.183159035761129</v>
      </c>
      <c r="E25" s="4">
        <f t="shared" si="1"/>
        <v>23</v>
      </c>
    </row>
    <row r="26" spans="1:6" s="4" customFormat="1" x14ac:dyDescent="0.25">
      <c r="A26" s="4" t="s">
        <v>372</v>
      </c>
      <c r="B26" s="5">
        <v>23.161000784713757</v>
      </c>
      <c r="C26" s="5">
        <v>20.757924874907204</v>
      </c>
      <c r="D26" s="5">
        <f t="shared" si="0"/>
        <v>23.161000784713757</v>
      </c>
      <c r="E26" s="4">
        <f t="shared" si="1"/>
        <v>24</v>
      </c>
    </row>
    <row r="27" spans="1:6" s="4" customFormat="1" x14ac:dyDescent="0.25">
      <c r="A27" s="4" t="s">
        <v>338</v>
      </c>
      <c r="B27" s="5">
        <v>22.742040571295728</v>
      </c>
      <c r="C27" s="5">
        <v>22.122866395068861</v>
      </c>
      <c r="D27" s="5">
        <f t="shared" si="0"/>
        <v>22.742040571295728</v>
      </c>
      <c r="E27" s="4">
        <f t="shared" si="1"/>
        <v>25</v>
      </c>
    </row>
    <row r="28" spans="1:6" s="4" customFormat="1" x14ac:dyDescent="0.25">
      <c r="A28" s="4" t="s">
        <v>332</v>
      </c>
      <c r="B28" s="5">
        <v>21.328907467866376</v>
      </c>
      <c r="C28" s="5">
        <v>19.937091065280317</v>
      </c>
      <c r="D28" s="5">
        <f t="shared" si="0"/>
        <v>21.328907467866376</v>
      </c>
      <c r="E28" s="4">
        <f t="shared" si="1"/>
        <v>26</v>
      </c>
    </row>
    <row r="29" spans="1:6" s="4" customFormat="1" x14ac:dyDescent="0.25">
      <c r="A29" s="4" t="s">
        <v>376</v>
      </c>
      <c r="B29" s="5">
        <v>21.01527377967831</v>
      </c>
      <c r="C29" s="5">
        <v>48.070908110441437</v>
      </c>
      <c r="D29" s="5">
        <f t="shared" si="0"/>
        <v>21.01527377967831</v>
      </c>
      <c r="E29" s="4">
        <f t="shared" si="1"/>
        <v>27</v>
      </c>
    </row>
    <row r="30" spans="1:6" s="4" customFormat="1" x14ac:dyDescent="0.25">
      <c r="A30" s="4" t="s">
        <v>363</v>
      </c>
      <c r="B30" s="5">
        <v>20.999945474911041</v>
      </c>
      <c r="C30" s="5">
        <v>23.652832750719099</v>
      </c>
      <c r="D30" s="5">
        <f t="shared" si="0"/>
        <v>20.999945474911041</v>
      </c>
      <c r="E30" s="4">
        <f t="shared" si="1"/>
        <v>28</v>
      </c>
    </row>
    <row r="31" spans="1:6" s="4" customFormat="1" x14ac:dyDescent="0.25">
      <c r="A31" s="4" t="s">
        <v>357</v>
      </c>
      <c r="B31" s="5">
        <v>20.332384022110382</v>
      </c>
      <c r="C31" s="5">
        <v>20.603639384230654</v>
      </c>
      <c r="D31" s="5">
        <f t="shared" si="0"/>
        <v>20.332384022110382</v>
      </c>
      <c r="E31" s="4">
        <f t="shared" si="1"/>
        <v>29</v>
      </c>
    </row>
    <row r="32" spans="1:6" s="4" customFormat="1" x14ac:dyDescent="0.25">
      <c r="A32" s="4" t="s">
        <v>391</v>
      </c>
      <c r="B32" s="5">
        <v>19.182962052579946</v>
      </c>
      <c r="C32" s="5">
        <v>17.883404581050716</v>
      </c>
      <c r="D32" s="5">
        <f t="shared" si="0"/>
        <v>19.182962052579946</v>
      </c>
      <c r="E32" s="4">
        <f t="shared" si="1"/>
        <v>30</v>
      </c>
      <c r="F32" s="4">
        <f>(E89-E32)/E89</f>
        <v>0.65517241379310343</v>
      </c>
    </row>
    <row r="33" spans="1:5" s="4" customFormat="1" x14ac:dyDescent="0.25">
      <c r="A33" s="4" t="s">
        <v>364</v>
      </c>
      <c r="B33" s="5">
        <v>19.133537409157878</v>
      </c>
      <c r="C33" s="5">
        <v>13.854540304842262</v>
      </c>
      <c r="D33" s="5">
        <f t="shared" si="0"/>
        <v>19.133537409157878</v>
      </c>
      <c r="E33" s="4">
        <f t="shared" si="1"/>
        <v>31</v>
      </c>
    </row>
    <row r="34" spans="1:5" s="4" customFormat="1" x14ac:dyDescent="0.25">
      <c r="A34" s="4" t="s">
        <v>394</v>
      </c>
      <c r="B34" s="5">
        <v>19.100000000000001</v>
      </c>
      <c r="C34" s="5">
        <v>20.3</v>
      </c>
      <c r="D34" s="5">
        <f t="shared" si="0"/>
        <v>19.100000000000001</v>
      </c>
      <c r="E34" s="4">
        <f t="shared" si="1"/>
        <v>32</v>
      </c>
    </row>
    <row r="35" spans="1:5" s="4" customFormat="1" x14ac:dyDescent="0.25">
      <c r="A35" s="4" t="s">
        <v>365</v>
      </c>
      <c r="B35" s="5">
        <v>18.651781139157375</v>
      </c>
      <c r="C35" s="5">
        <v>26.05775705168729</v>
      </c>
      <c r="D35" s="5">
        <f t="shared" ref="D35:D66" si="2">AVERAGE(B35:B35)</f>
        <v>18.651781139157375</v>
      </c>
      <c r="E35" s="4">
        <f t="shared" si="1"/>
        <v>33</v>
      </c>
    </row>
    <row r="36" spans="1:5" s="4" customFormat="1" x14ac:dyDescent="0.25">
      <c r="A36" s="4" t="s">
        <v>356</v>
      </c>
      <c r="B36" s="5">
        <v>16.379949551860456</v>
      </c>
      <c r="C36" s="5">
        <v>22.137138299714803</v>
      </c>
      <c r="D36" s="5">
        <f t="shared" si="2"/>
        <v>16.379949551860456</v>
      </c>
      <c r="E36" s="4">
        <f t="shared" si="1"/>
        <v>34</v>
      </c>
    </row>
    <row r="37" spans="1:5" s="4" customFormat="1" x14ac:dyDescent="0.25">
      <c r="A37" s="4" t="s">
        <v>348</v>
      </c>
      <c r="B37" s="5">
        <v>15.689183106759755</v>
      </c>
      <c r="C37" s="5">
        <v>16.641214528613464</v>
      </c>
      <c r="D37" s="5">
        <f t="shared" si="2"/>
        <v>15.689183106759755</v>
      </c>
      <c r="E37" s="4">
        <f t="shared" si="1"/>
        <v>35</v>
      </c>
    </row>
    <row r="38" spans="1:5" s="4" customFormat="1" x14ac:dyDescent="0.25">
      <c r="A38" s="4" t="s">
        <v>396</v>
      </c>
      <c r="B38" s="5">
        <v>15.597067251769362</v>
      </c>
      <c r="C38" s="5">
        <v>14.200210474100237</v>
      </c>
      <c r="D38" s="5">
        <f t="shared" si="2"/>
        <v>15.597067251769362</v>
      </c>
      <c r="E38" s="4">
        <f t="shared" si="1"/>
        <v>36</v>
      </c>
    </row>
    <row r="39" spans="1:5" s="4" customFormat="1" x14ac:dyDescent="0.25">
      <c r="A39" s="4" t="s">
        <v>342</v>
      </c>
      <c r="B39" s="5">
        <v>15.285975881226516</v>
      </c>
      <c r="C39" s="5">
        <v>18.20398591247212</v>
      </c>
      <c r="D39" s="5">
        <f t="shared" si="2"/>
        <v>15.285975881226516</v>
      </c>
      <c r="E39" s="4">
        <f t="shared" si="1"/>
        <v>37</v>
      </c>
    </row>
    <row r="40" spans="1:5" s="4" customFormat="1" x14ac:dyDescent="0.25">
      <c r="A40" s="4" t="s">
        <v>382</v>
      </c>
      <c r="B40" s="5">
        <v>14.765470247091168</v>
      </c>
      <c r="C40" s="5">
        <v>10.428056919005611</v>
      </c>
      <c r="D40" s="5">
        <f t="shared" si="2"/>
        <v>14.765470247091168</v>
      </c>
      <c r="E40" s="4">
        <f t="shared" si="1"/>
        <v>38</v>
      </c>
    </row>
    <row r="41" spans="1:5" s="4" customFormat="1" x14ac:dyDescent="0.25">
      <c r="A41" s="4" t="s">
        <v>378</v>
      </c>
      <c r="B41" s="5">
        <v>14.233089913547008</v>
      </c>
      <c r="C41" s="5">
        <v>13.213884742849135</v>
      </c>
      <c r="D41" s="5">
        <f t="shared" si="2"/>
        <v>14.233089913547008</v>
      </c>
      <c r="E41" s="4">
        <f t="shared" si="1"/>
        <v>39</v>
      </c>
    </row>
    <row r="42" spans="1:5" s="4" customFormat="1" x14ac:dyDescent="0.25">
      <c r="A42" s="4" t="s">
        <v>331</v>
      </c>
      <c r="B42" s="5">
        <v>13.922286334644177</v>
      </c>
      <c r="C42" s="5">
        <v>15.453286924856771</v>
      </c>
      <c r="D42" s="5">
        <f t="shared" si="2"/>
        <v>13.922286334644177</v>
      </c>
      <c r="E42" s="4">
        <f t="shared" si="1"/>
        <v>40</v>
      </c>
    </row>
    <row r="43" spans="1:5" s="4" customFormat="1" x14ac:dyDescent="0.25">
      <c r="A43" s="4" t="s">
        <v>383</v>
      </c>
      <c r="B43" s="5">
        <v>13.909047219142698</v>
      </c>
      <c r="C43" s="5">
        <v>13.203031386061429</v>
      </c>
      <c r="D43" s="5">
        <f t="shared" si="2"/>
        <v>13.909047219142698</v>
      </c>
      <c r="E43" s="4">
        <f t="shared" si="1"/>
        <v>41</v>
      </c>
    </row>
    <row r="44" spans="1:5" s="4" customFormat="1" x14ac:dyDescent="0.25">
      <c r="A44" s="4" t="s">
        <v>399</v>
      </c>
      <c r="B44" s="5">
        <v>13.753677047471891</v>
      </c>
      <c r="C44" s="5">
        <v>12.140638742058984</v>
      </c>
      <c r="D44" s="5">
        <f t="shared" si="2"/>
        <v>13.753677047471891</v>
      </c>
      <c r="E44" s="4">
        <f t="shared" si="1"/>
        <v>42</v>
      </c>
    </row>
    <row r="45" spans="1:5" s="4" customFormat="1" x14ac:dyDescent="0.25">
      <c r="A45" s="4" t="s">
        <v>401</v>
      </c>
      <c r="B45" s="5">
        <v>13.486540671974959</v>
      </c>
      <c r="C45" s="5">
        <v>15.537516758598329</v>
      </c>
      <c r="D45" s="5">
        <f t="shared" si="2"/>
        <v>13.486540671974959</v>
      </c>
      <c r="E45" s="4">
        <f t="shared" si="1"/>
        <v>43</v>
      </c>
    </row>
    <row r="46" spans="1:5" s="4" customFormat="1" x14ac:dyDescent="0.25">
      <c r="A46" s="4" t="s">
        <v>381</v>
      </c>
      <c r="B46" s="5">
        <v>13.392987279621687</v>
      </c>
      <c r="C46" s="5">
        <v>15.124842467552115</v>
      </c>
      <c r="D46" s="5">
        <f t="shared" si="2"/>
        <v>13.392987279621687</v>
      </c>
      <c r="E46" s="4">
        <f t="shared" si="1"/>
        <v>44</v>
      </c>
    </row>
    <row r="47" spans="1:5" s="4" customFormat="1" x14ac:dyDescent="0.25">
      <c r="A47" s="4" t="s">
        <v>404</v>
      </c>
      <c r="B47" s="5">
        <v>13.362769765417079</v>
      </c>
      <c r="C47" s="5">
        <v>12.635286261360909</v>
      </c>
      <c r="D47" s="5">
        <f t="shared" si="2"/>
        <v>13.362769765417079</v>
      </c>
      <c r="E47" s="4">
        <f t="shared" si="1"/>
        <v>45</v>
      </c>
    </row>
    <row r="48" spans="1:5" s="4" customFormat="1" x14ac:dyDescent="0.25">
      <c r="A48" s="4" t="s">
        <v>355</v>
      </c>
      <c r="B48" s="5">
        <v>13.06989825410175</v>
      </c>
      <c r="C48" s="5">
        <v>14.526701141759338</v>
      </c>
      <c r="D48" s="5">
        <f t="shared" si="2"/>
        <v>13.06989825410175</v>
      </c>
      <c r="E48" s="4">
        <f t="shared" si="1"/>
        <v>46</v>
      </c>
    </row>
    <row r="49" spans="1:5" s="4" customFormat="1" x14ac:dyDescent="0.25">
      <c r="A49" s="4" t="s">
        <v>0</v>
      </c>
      <c r="B49" s="5">
        <v>12.963069155711437</v>
      </c>
      <c r="C49" s="5">
        <v>19.262109672196782</v>
      </c>
      <c r="D49" s="5">
        <f t="shared" si="2"/>
        <v>12.963069155711437</v>
      </c>
      <c r="E49" s="4">
        <f t="shared" si="1"/>
        <v>47</v>
      </c>
    </row>
    <row r="50" spans="1:5" s="4" customFormat="1" x14ac:dyDescent="0.25">
      <c r="A50" s="4" t="s">
        <v>353</v>
      </c>
      <c r="B50" s="5">
        <v>11.973539051628004</v>
      </c>
      <c r="C50" s="5">
        <v>8.9364184228485328</v>
      </c>
      <c r="D50" s="5">
        <f t="shared" si="2"/>
        <v>11.973539051628004</v>
      </c>
      <c r="E50" s="4">
        <f t="shared" si="1"/>
        <v>48</v>
      </c>
    </row>
    <row r="51" spans="1:5" s="4" customFormat="1" x14ac:dyDescent="0.25">
      <c r="A51" s="4" t="s">
        <v>341</v>
      </c>
      <c r="B51" s="5">
        <v>11.569497650297359</v>
      </c>
      <c r="C51" s="5">
        <v>13.451389037553421</v>
      </c>
      <c r="D51" s="5">
        <f t="shared" si="2"/>
        <v>11.569497650297359</v>
      </c>
      <c r="E51" s="4">
        <f t="shared" si="1"/>
        <v>49</v>
      </c>
    </row>
    <row r="52" spans="1:5" s="4" customFormat="1" x14ac:dyDescent="0.25">
      <c r="A52" s="4" t="s">
        <v>379</v>
      </c>
      <c r="B52" s="5">
        <v>11.401325425662643</v>
      </c>
      <c r="C52" s="5">
        <v>10.631169660336109</v>
      </c>
      <c r="D52" s="5">
        <f t="shared" si="2"/>
        <v>11.401325425662643</v>
      </c>
      <c r="E52" s="4">
        <f t="shared" si="1"/>
        <v>50</v>
      </c>
    </row>
    <row r="53" spans="1:5" s="4" customFormat="1" x14ac:dyDescent="0.25">
      <c r="A53" s="4" t="s">
        <v>388</v>
      </c>
      <c r="B53" s="5">
        <v>11.360288967069444</v>
      </c>
      <c r="C53" s="5">
        <v>10.269429861074144</v>
      </c>
      <c r="D53" s="5">
        <f t="shared" si="2"/>
        <v>11.360288967069444</v>
      </c>
      <c r="E53" s="4">
        <f t="shared" si="1"/>
        <v>51</v>
      </c>
    </row>
    <row r="54" spans="1:5" s="4" customFormat="1" x14ac:dyDescent="0.25">
      <c r="A54" s="4" t="s">
        <v>347</v>
      </c>
      <c r="B54" s="5">
        <v>11.036946329250808</v>
      </c>
      <c r="C54" s="5">
        <v>15.31471338981193</v>
      </c>
      <c r="D54" s="5">
        <f t="shared" si="2"/>
        <v>11.036946329250808</v>
      </c>
      <c r="E54" s="4">
        <f t="shared" si="1"/>
        <v>52</v>
      </c>
    </row>
    <row r="55" spans="1:5" s="4" customFormat="1" x14ac:dyDescent="0.25">
      <c r="A55" s="4" t="s">
        <v>266</v>
      </c>
      <c r="B55" s="5">
        <v>10.810629024300152</v>
      </c>
      <c r="C55" s="5">
        <v>14.878108290489592</v>
      </c>
      <c r="D55" s="5">
        <f t="shared" si="2"/>
        <v>10.810629024300152</v>
      </c>
      <c r="E55" s="4">
        <f t="shared" si="1"/>
        <v>53</v>
      </c>
    </row>
    <row r="56" spans="1:5" s="4" customFormat="1" x14ac:dyDescent="0.25">
      <c r="A56" s="4" t="s">
        <v>370</v>
      </c>
      <c r="B56" s="5">
        <v>10.643221522303673</v>
      </c>
      <c r="C56" s="5">
        <v>23.220913786987804</v>
      </c>
      <c r="D56" s="5">
        <f t="shared" si="2"/>
        <v>10.643221522303673</v>
      </c>
      <c r="E56" s="4">
        <f t="shared" si="1"/>
        <v>54</v>
      </c>
    </row>
    <row r="57" spans="1:5" s="4" customFormat="1" x14ac:dyDescent="0.25">
      <c r="A57" s="4" t="s">
        <v>335</v>
      </c>
      <c r="B57" s="5">
        <v>10.63367362243315</v>
      </c>
      <c r="C57" s="5">
        <v>9.8745804209142172</v>
      </c>
      <c r="D57" s="5">
        <f t="shared" si="2"/>
        <v>10.63367362243315</v>
      </c>
      <c r="E57" s="4">
        <f t="shared" si="1"/>
        <v>55</v>
      </c>
    </row>
    <row r="58" spans="1:5" s="4" customFormat="1" x14ac:dyDescent="0.25">
      <c r="A58" s="4" t="s">
        <v>385</v>
      </c>
      <c r="B58" s="5">
        <v>10.612077418248999</v>
      </c>
      <c r="C58" s="5">
        <v>10.906944327875678</v>
      </c>
      <c r="D58" s="5">
        <f t="shared" si="2"/>
        <v>10.612077418248999</v>
      </c>
      <c r="E58" s="4">
        <f t="shared" si="1"/>
        <v>56</v>
      </c>
    </row>
    <row r="59" spans="1:5" s="4" customFormat="1" x14ac:dyDescent="0.25">
      <c r="A59" s="4" t="s">
        <v>369</v>
      </c>
      <c r="B59" s="5">
        <v>10.215476232610692</v>
      </c>
      <c r="C59" s="5">
        <v>10.147815869503113</v>
      </c>
      <c r="D59" s="5">
        <f t="shared" si="2"/>
        <v>10.215476232610692</v>
      </c>
      <c r="E59" s="4">
        <f t="shared" si="1"/>
        <v>57</v>
      </c>
    </row>
    <row r="60" spans="1:5" s="4" customFormat="1" x14ac:dyDescent="0.25">
      <c r="A60" s="4" t="s">
        <v>377</v>
      </c>
      <c r="B60" s="5">
        <v>9.9133511225198561</v>
      </c>
      <c r="C60" s="5">
        <v>20.833617503600227</v>
      </c>
      <c r="D60" s="5">
        <f t="shared" si="2"/>
        <v>9.9133511225198561</v>
      </c>
      <c r="E60" s="4">
        <f t="shared" si="1"/>
        <v>58</v>
      </c>
    </row>
    <row r="61" spans="1:5" s="4" customFormat="1" x14ac:dyDescent="0.25">
      <c r="A61" s="4" t="s">
        <v>387</v>
      </c>
      <c r="B61" s="5">
        <v>9.8781043368484891</v>
      </c>
      <c r="C61" s="5">
        <v>9.3509879948414483</v>
      </c>
      <c r="D61" s="5">
        <f t="shared" si="2"/>
        <v>9.8781043368484891</v>
      </c>
      <c r="E61" s="4">
        <f t="shared" si="1"/>
        <v>59</v>
      </c>
    </row>
    <row r="62" spans="1:5" s="4" customFormat="1" x14ac:dyDescent="0.25">
      <c r="A62" s="4" t="s">
        <v>360</v>
      </c>
      <c r="B62" s="5">
        <v>9.6291635974648493</v>
      </c>
      <c r="C62" s="5">
        <v>14.260650791488812</v>
      </c>
      <c r="D62" s="5">
        <f t="shared" si="2"/>
        <v>9.6291635974648493</v>
      </c>
      <c r="E62" s="4">
        <f t="shared" si="1"/>
        <v>60</v>
      </c>
    </row>
    <row r="63" spans="1:5" s="4" customFormat="1" x14ac:dyDescent="0.25">
      <c r="A63" s="4" t="s">
        <v>359</v>
      </c>
      <c r="B63" s="5">
        <v>9.6184909668804845</v>
      </c>
      <c r="C63" s="5">
        <v>8.2414827408134119</v>
      </c>
      <c r="D63" s="5">
        <f t="shared" si="2"/>
        <v>9.6184909668804845</v>
      </c>
      <c r="E63" s="4">
        <f t="shared" si="1"/>
        <v>61</v>
      </c>
    </row>
    <row r="64" spans="1:5" s="4" customFormat="1" x14ac:dyDescent="0.25">
      <c r="A64" s="4" t="s">
        <v>373</v>
      </c>
      <c r="B64" s="5">
        <v>9.3864900208927899</v>
      </c>
      <c r="C64" s="5">
        <v>9.251449831275913</v>
      </c>
      <c r="D64" s="5">
        <f t="shared" si="2"/>
        <v>9.3864900208927899</v>
      </c>
      <c r="E64" s="4">
        <f t="shared" si="1"/>
        <v>62</v>
      </c>
    </row>
    <row r="65" spans="1:5" s="4" customFormat="1" x14ac:dyDescent="0.25">
      <c r="A65" s="4" t="s">
        <v>339</v>
      </c>
      <c r="B65" s="5">
        <v>9.3076226970594576</v>
      </c>
      <c r="C65" s="5">
        <v>9.3442827194966487</v>
      </c>
      <c r="D65" s="5">
        <f t="shared" si="2"/>
        <v>9.3076226970594576</v>
      </c>
      <c r="E65" s="4">
        <f t="shared" si="1"/>
        <v>63</v>
      </c>
    </row>
    <row r="66" spans="1:5" s="4" customFormat="1" x14ac:dyDescent="0.25">
      <c r="A66" s="4" t="s">
        <v>366</v>
      </c>
      <c r="B66" s="5">
        <v>9.2791879341562975</v>
      </c>
      <c r="C66" s="5">
        <v>9.6219854372989655</v>
      </c>
      <c r="D66" s="5">
        <f t="shared" si="2"/>
        <v>9.2791879341562975</v>
      </c>
      <c r="E66" s="4">
        <f t="shared" si="1"/>
        <v>64</v>
      </c>
    </row>
    <row r="67" spans="1:5" s="4" customFormat="1" x14ac:dyDescent="0.25">
      <c r="A67" s="4" t="s">
        <v>405</v>
      </c>
      <c r="B67" s="5">
        <v>9.0616508969717842</v>
      </c>
      <c r="C67" s="5">
        <v>9.321036927022325</v>
      </c>
      <c r="D67" s="5">
        <f t="shared" ref="D67:D89" si="3">AVERAGE(B67:B67)</f>
        <v>9.0616508969717842</v>
      </c>
      <c r="E67" s="4">
        <f t="shared" si="1"/>
        <v>65</v>
      </c>
    </row>
    <row r="68" spans="1:5" s="4" customFormat="1" x14ac:dyDescent="0.25">
      <c r="A68" s="4" t="s">
        <v>336</v>
      </c>
      <c r="B68" s="5">
        <v>8.7312623201320019</v>
      </c>
      <c r="C68" s="5">
        <v>8.1584641371385374</v>
      </c>
      <c r="D68" s="5">
        <f t="shared" si="3"/>
        <v>8.7312623201320019</v>
      </c>
      <c r="E68" s="4">
        <f t="shared" si="1"/>
        <v>66</v>
      </c>
    </row>
    <row r="69" spans="1:5" s="4" customFormat="1" x14ac:dyDescent="0.25">
      <c r="A69" s="4" t="s">
        <v>343</v>
      </c>
      <c r="B69" s="5">
        <v>8.4232477920439575</v>
      </c>
      <c r="C69" s="5">
        <v>5.4749952870872338</v>
      </c>
      <c r="D69" s="5">
        <f t="shared" si="3"/>
        <v>8.4232477920439575</v>
      </c>
      <c r="E69" s="4">
        <f t="shared" ref="E69:E89" si="4">E68+1</f>
        <v>67</v>
      </c>
    </row>
    <row r="70" spans="1:5" s="4" customFormat="1" x14ac:dyDescent="0.25">
      <c r="A70" s="4" t="s">
        <v>398</v>
      </c>
      <c r="B70" s="5">
        <v>8.2038483865796472</v>
      </c>
      <c r="C70" s="5">
        <v>9.523923121344243</v>
      </c>
      <c r="D70" s="5">
        <f t="shared" si="3"/>
        <v>8.2038483865796472</v>
      </c>
      <c r="E70" s="4">
        <f t="shared" si="4"/>
        <v>68</v>
      </c>
    </row>
    <row r="71" spans="1:5" s="4" customFormat="1" x14ac:dyDescent="0.25">
      <c r="A71" s="4" t="s">
        <v>393</v>
      </c>
      <c r="B71" s="5">
        <v>8.1516238660501568</v>
      </c>
      <c r="C71" s="5">
        <v>9.8172284359947994</v>
      </c>
      <c r="D71" s="5">
        <f t="shared" si="3"/>
        <v>8.1516238660501568</v>
      </c>
      <c r="E71" s="4">
        <f t="shared" si="4"/>
        <v>69</v>
      </c>
    </row>
    <row r="72" spans="1:5" s="4" customFormat="1" x14ac:dyDescent="0.25">
      <c r="A72" s="4" t="s">
        <v>402</v>
      </c>
      <c r="B72" s="5">
        <v>8.1007749839677619</v>
      </c>
      <c r="C72" s="5">
        <v>8.7946111665415643</v>
      </c>
      <c r="D72" s="5">
        <f t="shared" si="3"/>
        <v>8.1007749839677619</v>
      </c>
      <c r="E72" s="4">
        <f t="shared" si="4"/>
        <v>70</v>
      </c>
    </row>
    <row r="73" spans="1:5" s="4" customFormat="1" x14ac:dyDescent="0.25">
      <c r="A73" s="4" t="s">
        <v>395</v>
      </c>
      <c r="B73" s="5">
        <v>7.8049079076559797</v>
      </c>
      <c r="C73" s="5">
        <v>7.0835280903904581</v>
      </c>
      <c r="D73" s="5">
        <f t="shared" si="3"/>
        <v>7.8049079076559797</v>
      </c>
      <c r="E73" s="4">
        <f t="shared" si="4"/>
        <v>71</v>
      </c>
    </row>
    <row r="74" spans="1:5" s="4" customFormat="1" x14ac:dyDescent="0.25">
      <c r="A74" s="4" t="s">
        <v>368</v>
      </c>
      <c r="B74" s="5">
        <v>7.7322766360972697</v>
      </c>
      <c r="C74" s="5">
        <v>9.5063632689856199</v>
      </c>
      <c r="D74" s="5">
        <f t="shared" si="3"/>
        <v>7.7322766360972697</v>
      </c>
      <c r="E74" s="4">
        <f t="shared" si="4"/>
        <v>72</v>
      </c>
    </row>
    <row r="75" spans="1:5" s="4" customFormat="1" x14ac:dyDescent="0.25">
      <c r="A75" s="4" t="s">
        <v>407</v>
      </c>
      <c r="B75" s="5">
        <v>7.1882425772070491</v>
      </c>
      <c r="C75" s="5">
        <v>6.8891714255228287</v>
      </c>
      <c r="D75" s="5">
        <f t="shared" si="3"/>
        <v>7.1882425772070491</v>
      </c>
      <c r="E75" s="4">
        <f t="shared" si="4"/>
        <v>73</v>
      </c>
    </row>
    <row r="76" spans="1:5" s="4" customFormat="1" x14ac:dyDescent="0.25">
      <c r="A76" s="4" t="s">
        <v>389</v>
      </c>
      <c r="B76" s="5">
        <v>7.0868568019718303</v>
      </c>
      <c r="C76" s="5">
        <v>9.7274874756763339</v>
      </c>
      <c r="D76" s="5">
        <f t="shared" si="3"/>
        <v>7.0868568019718303</v>
      </c>
      <c r="E76" s="4">
        <f t="shared" si="4"/>
        <v>74</v>
      </c>
    </row>
    <row r="77" spans="1:5" s="4" customFormat="1" x14ac:dyDescent="0.25">
      <c r="A77" s="4" t="s">
        <v>351</v>
      </c>
      <c r="B77" s="5">
        <v>6.7658828831400131</v>
      </c>
      <c r="C77" s="5">
        <v>10.582534622758113</v>
      </c>
      <c r="D77" s="5">
        <f t="shared" si="3"/>
        <v>6.7658828831400131</v>
      </c>
      <c r="E77" s="4">
        <f t="shared" si="4"/>
        <v>75</v>
      </c>
    </row>
    <row r="78" spans="1:5" s="4" customFormat="1" x14ac:dyDescent="0.25">
      <c r="A78" s="4" t="s">
        <v>386</v>
      </c>
      <c r="B78" s="5">
        <v>5.8878801168535713</v>
      </c>
      <c r="C78" s="5">
        <v>7.069658581210934</v>
      </c>
      <c r="D78" s="5">
        <f t="shared" si="3"/>
        <v>5.8878801168535713</v>
      </c>
      <c r="E78" s="4">
        <f t="shared" si="4"/>
        <v>76</v>
      </c>
    </row>
    <row r="79" spans="1:5" s="4" customFormat="1" x14ac:dyDescent="0.25">
      <c r="A79" s="4" t="s">
        <v>350</v>
      </c>
      <c r="B79" s="5">
        <v>5.325811635363193</v>
      </c>
      <c r="C79" s="5">
        <v>5.42304862919723</v>
      </c>
      <c r="D79" s="5">
        <f t="shared" si="3"/>
        <v>5.325811635363193</v>
      </c>
      <c r="E79" s="4">
        <f t="shared" si="4"/>
        <v>77</v>
      </c>
    </row>
    <row r="80" spans="1:5" s="4" customFormat="1" x14ac:dyDescent="0.25">
      <c r="A80" s="4" t="s">
        <v>380</v>
      </c>
      <c r="B80" s="5">
        <v>5.261845055573894</v>
      </c>
      <c r="C80" s="5">
        <v>5.4118659606135475</v>
      </c>
      <c r="D80" s="5">
        <f t="shared" si="3"/>
        <v>5.261845055573894</v>
      </c>
      <c r="E80" s="4">
        <f t="shared" si="4"/>
        <v>78</v>
      </c>
    </row>
    <row r="81" spans="1:5" s="4" customFormat="1" x14ac:dyDescent="0.25">
      <c r="A81" s="4" t="s">
        <v>406</v>
      </c>
      <c r="B81" s="5">
        <v>5.1218021845156461</v>
      </c>
      <c r="C81" s="5">
        <v>5.5220612885650873</v>
      </c>
      <c r="D81" s="5">
        <f t="shared" si="3"/>
        <v>5.1218021845156461</v>
      </c>
      <c r="E81" s="4">
        <f t="shared" si="4"/>
        <v>79</v>
      </c>
    </row>
    <row r="82" spans="1:5" s="4" customFormat="1" x14ac:dyDescent="0.25">
      <c r="A82" s="4" t="s">
        <v>337</v>
      </c>
      <c r="B82" s="5">
        <v>5.0065624556711157</v>
      </c>
      <c r="C82" s="5">
        <v>6.423711237427332</v>
      </c>
      <c r="D82" s="5">
        <f t="shared" si="3"/>
        <v>5.0065624556711157</v>
      </c>
      <c r="E82" s="4">
        <f t="shared" si="4"/>
        <v>80</v>
      </c>
    </row>
    <row r="83" spans="1:5" s="4" customFormat="1" x14ac:dyDescent="0.25">
      <c r="A83" s="4" t="s">
        <v>361</v>
      </c>
      <c r="B83" s="5">
        <v>4.0516447236147934</v>
      </c>
      <c r="C83" s="5">
        <v>4.1201649746631519</v>
      </c>
      <c r="D83" s="5">
        <f t="shared" si="3"/>
        <v>4.0516447236147934</v>
      </c>
      <c r="E83" s="4">
        <f t="shared" si="4"/>
        <v>81</v>
      </c>
    </row>
    <row r="84" spans="1:5" s="4" customFormat="1" x14ac:dyDescent="0.25">
      <c r="A84" s="4" t="s">
        <v>358</v>
      </c>
      <c r="B84" s="5">
        <v>3.9197875069665336</v>
      </c>
      <c r="C84" s="5">
        <v>3.8325861747337395</v>
      </c>
      <c r="D84" s="5">
        <f t="shared" si="3"/>
        <v>3.9197875069665336</v>
      </c>
      <c r="E84" s="4">
        <f t="shared" si="4"/>
        <v>82</v>
      </c>
    </row>
    <row r="85" spans="1:5" s="4" customFormat="1" x14ac:dyDescent="0.25">
      <c r="A85" s="4" t="s">
        <v>400</v>
      </c>
      <c r="B85" s="5">
        <v>3.0922498095229134</v>
      </c>
      <c r="C85" s="5">
        <v>3.421199957407242</v>
      </c>
      <c r="D85" s="5">
        <f t="shared" si="3"/>
        <v>3.0922498095229134</v>
      </c>
      <c r="E85" s="4">
        <f t="shared" si="4"/>
        <v>83</v>
      </c>
    </row>
    <row r="86" spans="1:5" s="4" customFormat="1" x14ac:dyDescent="0.25">
      <c r="A86" s="4" t="s">
        <v>409</v>
      </c>
      <c r="B86" s="5">
        <v>2.968716358794393</v>
      </c>
      <c r="C86" s="5">
        <v>1.8924316316544509</v>
      </c>
      <c r="D86" s="5">
        <f t="shared" si="3"/>
        <v>2.968716358794393</v>
      </c>
      <c r="E86" s="4">
        <f t="shared" si="4"/>
        <v>84</v>
      </c>
    </row>
    <row r="87" spans="1:5" s="4" customFormat="1" x14ac:dyDescent="0.25">
      <c r="A87" s="4" t="s">
        <v>392</v>
      </c>
      <c r="B87" s="5">
        <v>2.7999009111067572</v>
      </c>
      <c r="C87" s="5">
        <v>3.602151454740842</v>
      </c>
      <c r="D87" s="5">
        <f t="shared" si="3"/>
        <v>2.7999009111067572</v>
      </c>
      <c r="E87" s="4">
        <f t="shared" si="4"/>
        <v>85</v>
      </c>
    </row>
    <row r="88" spans="1:5" s="4" customFormat="1" x14ac:dyDescent="0.25">
      <c r="A88" s="4" t="s">
        <v>362</v>
      </c>
      <c r="B88" s="5">
        <v>0.15143338154821659</v>
      </c>
      <c r="C88" s="5">
        <v>0.14472424807455153</v>
      </c>
      <c r="D88" s="5">
        <f t="shared" si="3"/>
        <v>0.15143338154821659</v>
      </c>
      <c r="E88" s="4">
        <f t="shared" si="4"/>
        <v>86</v>
      </c>
    </row>
    <row r="89" spans="1:5" s="4" customFormat="1" x14ac:dyDescent="0.25">
      <c r="A89" s="4" t="s">
        <v>329</v>
      </c>
      <c r="B89" s="5">
        <v>0.12919494662216507</v>
      </c>
      <c r="C89" s="5">
        <v>0.13502759518735014</v>
      </c>
      <c r="D89" s="5">
        <f t="shared" si="3"/>
        <v>0.12919494662216507</v>
      </c>
      <c r="E89" s="4">
        <f t="shared" si="4"/>
        <v>87</v>
      </c>
    </row>
    <row r="90" spans="1:5" x14ac:dyDescent="0.25">
      <c r="A90" s="1"/>
    </row>
  </sheetData>
  <sortState xmlns:xlrd2="http://schemas.microsoft.com/office/spreadsheetml/2017/richdata2" ref="A3:D91">
    <sortCondition descending="1" ref="D4:D9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E363C1C95A174EBC4B3703A150C973" ma:contentTypeVersion="11" ma:contentTypeDescription="Create a new document." ma:contentTypeScope="" ma:versionID="6f9f2076baca6a0d2bd991e8743396ef">
  <xsd:schema xmlns:xsd="http://www.w3.org/2001/XMLSchema" xmlns:xs="http://www.w3.org/2001/XMLSchema" xmlns:p="http://schemas.microsoft.com/office/2006/metadata/properties" xmlns:ns2="00e8167f-f5fb-43e7-850a-c41ab40091c5" xmlns:ns3="864186a3-85bb-46b4-bd25-8ee3ddf4b9bf" targetNamespace="http://schemas.microsoft.com/office/2006/metadata/properties" ma:root="true" ma:fieldsID="887bcf563db938909207f1c94c74088a" ns2:_="" ns3:_="">
    <xsd:import namespace="00e8167f-f5fb-43e7-850a-c41ab40091c5"/>
    <xsd:import namespace="864186a3-85bb-46b4-bd25-8ee3ddf4b9b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e8167f-f5fb-43e7-850a-c41ab40091c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186a3-85bb-46b4-bd25-8ee3ddf4b9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8314E7-1BBF-40F5-A206-0401AFD22E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e8167f-f5fb-43e7-850a-c41ab40091c5"/>
    <ds:schemaRef ds:uri="864186a3-85bb-46b4-bd25-8ee3ddf4b9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7E4C25-5F03-4A6E-A3CE-8AC5EBF7FC42}">
  <ds:schemaRefs>
    <ds:schemaRef ds:uri="http://schemas.microsoft.com/office/infopath/2007/PartnerControls"/>
    <ds:schemaRef ds:uri="http://schemas.microsoft.com/office/2006/metadata/properties"/>
    <ds:schemaRef ds:uri="http://purl.org/dc/terms/"/>
    <ds:schemaRef ds:uri="http://purl.org/dc/elements/1.1/"/>
    <ds:schemaRef ds:uri="http://purl.org/dc/dcmitype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864186a3-85bb-46b4-bd25-8ee3ddf4b9bf"/>
    <ds:schemaRef ds:uri="00e8167f-f5fb-43e7-850a-c41ab40091c5"/>
  </ds:schemaRefs>
</ds:datastoreItem>
</file>

<file path=customXml/itemProps3.xml><?xml version="1.0" encoding="utf-8"?>
<ds:datastoreItem xmlns:ds="http://schemas.openxmlformats.org/officeDocument/2006/customXml" ds:itemID="{A7080375-522A-4A80-A4FC-035B908C5A5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Chad</vt:lpstr>
      <vt:lpstr>Ghana</vt:lpstr>
      <vt:lpstr>Sri Lanka</vt:lpstr>
      <vt:lpstr>Suriname</vt:lpstr>
      <vt:lpstr>Ukraine</vt:lpstr>
      <vt:lpstr>Zambia</vt:lpstr>
      <vt:lpstr>Summary</vt:lpstr>
      <vt:lpstr>External debt payments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Jones</dc:creator>
  <cp:lastModifiedBy>Tim Jones</cp:lastModifiedBy>
  <dcterms:created xsi:type="dcterms:W3CDTF">2024-10-01T09:38:53Z</dcterms:created>
  <dcterms:modified xsi:type="dcterms:W3CDTF">2024-10-11T09:56:19Z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0x01010016E363C1C95A174EBC4B3703A150C973</vt:lpwstr>
  </property>
</Properties>
</file>