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Jones\Desktop\"/>
    </mc:Choice>
  </mc:AlternateContent>
  <xr:revisionPtr revIDLastSave="0" documentId="8_{8E66E61F-2FBB-43BC-AC39-B67E71E38894}" xr6:coauthVersionLast="47" xr6:coauthVersionMax="47" xr10:uidLastSave="{00000000-0000-0000-0000-000000000000}"/>
  <bookViews>
    <workbookView xWindow="-120" yWindow="-120" windowWidth="30960" windowHeight="15720" xr2:uid="{02C81E16-6385-415C-B8C7-4D2C7AF28B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1" l="1"/>
  <c r="F102" i="1"/>
  <c r="E102" i="1"/>
  <c r="D102" i="1"/>
  <c r="C102" i="1"/>
  <c r="B102" i="1"/>
  <c r="G100" i="1"/>
  <c r="F100" i="1"/>
  <c r="E100" i="1"/>
  <c r="D100" i="1"/>
  <c r="C100" i="1"/>
  <c r="B100" i="1"/>
  <c r="G99" i="1"/>
  <c r="F99" i="1"/>
  <c r="E99" i="1"/>
  <c r="D99" i="1"/>
  <c r="C99" i="1"/>
  <c r="B99" i="1"/>
  <c r="T89" i="1"/>
  <c r="S89" i="1"/>
  <c r="S92" i="1" s="1"/>
  <c r="R89" i="1"/>
  <c r="R92" i="1" s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C92" i="1" s="1"/>
  <c r="T92" i="1"/>
  <c r="U89" i="1"/>
  <c r="S88" i="1"/>
  <c r="R88" i="1"/>
  <c r="Q88" i="1"/>
  <c r="R90" i="1"/>
  <c r="S90" i="1" s="1"/>
  <c r="T90" i="1" s="1"/>
  <c r="L90" i="1"/>
  <c r="U87" i="1"/>
  <c r="R87" i="1"/>
  <c r="S87" i="1" s="1"/>
  <c r="T87" i="1" s="1"/>
  <c r="D88" i="1"/>
  <c r="E88" i="1" s="1"/>
  <c r="F88" i="1" s="1"/>
  <c r="G88" i="1" s="1"/>
  <c r="H88" i="1" s="1"/>
  <c r="I88" i="1" s="1"/>
  <c r="J88" i="1" s="1"/>
  <c r="K88" i="1" s="1"/>
  <c r="C88" i="1"/>
  <c r="B88" i="1"/>
  <c r="C87" i="1"/>
  <c r="D87" i="1" s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D81" i="1"/>
  <c r="E81" i="1" s="1"/>
  <c r="F81" i="1" s="1"/>
  <c r="G81" i="1" s="1"/>
  <c r="C81" i="1"/>
  <c r="D80" i="1"/>
  <c r="E80" i="1" s="1"/>
  <c r="F80" i="1" s="1"/>
  <c r="G80" i="1" s="1"/>
  <c r="C80" i="1"/>
  <c r="D78" i="1"/>
  <c r="E78" i="1" s="1"/>
  <c r="F78" i="1" s="1"/>
  <c r="G78" i="1" s="1"/>
  <c r="H78" i="1" s="1"/>
  <c r="I78" i="1" s="1"/>
  <c r="J78" i="1" s="1"/>
  <c r="K78" i="1" s="1"/>
  <c r="L78" i="1" s="1"/>
  <c r="M78" i="1" s="1"/>
  <c r="N78" i="1" s="1"/>
  <c r="O78" i="1" s="1"/>
  <c r="P78" i="1" s="1"/>
  <c r="Q78" i="1" s="1"/>
  <c r="R78" i="1" s="1"/>
  <c r="S78" i="1" s="1"/>
  <c r="T78" i="1" s="1"/>
  <c r="U78" i="1" s="1"/>
  <c r="N76" i="1"/>
  <c r="B70" i="1"/>
  <c r="V63" i="1"/>
  <c r="B67" i="1" s="1"/>
  <c r="C67" i="1" s="1"/>
  <c r="B71" i="1" s="1"/>
  <c r="B72" i="1" s="1"/>
  <c r="C51" i="1"/>
  <c r="C54" i="1" s="1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G43" i="1"/>
  <c r="F43" i="1"/>
  <c r="E43" i="1"/>
  <c r="D43" i="1"/>
  <c r="C43" i="1"/>
  <c r="B43" i="1"/>
  <c r="E46" i="1"/>
  <c r="D46" i="1"/>
  <c r="C46" i="1"/>
  <c r="B46" i="1"/>
  <c r="E31" i="1"/>
  <c r="E34" i="1" s="1"/>
  <c r="D31" i="1"/>
  <c r="D34" i="1" s="1"/>
  <c r="C31" i="1"/>
  <c r="C34" i="1" s="1"/>
  <c r="B31" i="1"/>
  <c r="B38" i="1" s="1"/>
  <c r="E30" i="1"/>
  <c r="D30" i="1"/>
  <c r="C30" i="1"/>
  <c r="F29" i="1"/>
  <c r="F31" i="1" s="1"/>
  <c r="F34" i="1" s="1"/>
  <c r="C27" i="1"/>
  <c r="D27" i="1" s="1"/>
  <c r="E27" i="1" s="1"/>
  <c r="F27" i="1" s="1"/>
  <c r="G27" i="1" s="1"/>
  <c r="B24" i="1"/>
  <c r="D14" i="1"/>
  <c r="D17" i="1" s="1"/>
  <c r="D13" i="1"/>
  <c r="E14" i="1" s="1"/>
  <c r="D6" i="1"/>
  <c r="D4" i="1" s="1"/>
  <c r="D5" i="1"/>
  <c r="D8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D90" i="1" l="1"/>
  <c r="E90" i="1" s="1"/>
  <c r="F90" i="1" s="1"/>
  <c r="G90" i="1" s="1"/>
  <c r="H90" i="1" s="1"/>
  <c r="I90" i="1" s="1"/>
  <c r="J90" i="1" s="1"/>
  <c r="K90" i="1" s="1"/>
  <c r="M90" i="1" s="1"/>
  <c r="N90" i="1" s="1"/>
  <c r="O90" i="1" s="1"/>
  <c r="P90" i="1" s="1"/>
  <c r="Q90" i="1" s="1"/>
  <c r="G29" i="1"/>
  <c r="F46" i="1"/>
  <c r="F30" i="1"/>
  <c r="G30" i="1" s="1"/>
  <c r="D51" i="1"/>
  <c r="E17" i="1"/>
  <c r="B19" i="1" s="1"/>
  <c r="E13" i="1"/>
  <c r="E5" i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D92" i="1" l="1"/>
  <c r="G46" i="1"/>
  <c r="G31" i="1"/>
  <c r="G34" i="1" s="1"/>
  <c r="D54" i="1"/>
  <c r="E51" i="1"/>
  <c r="E8" i="1"/>
  <c r="E4" i="1"/>
  <c r="E92" i="1" l="1"/>
  <c r="E54" i="1"/>
  <c r="F51" i="1"/>
  <c r="F5" i="1"/>
  <c r="F8" i="1" s="1"/>
  <c r="F4" i="1"/>
  <c r="F92" i="1" l="1"/>
  <c r="F54" i="1"/>
  <c r="G51" i="1"/>
  <c r="G5" i="1"/>
  <c r="G8" i="1" s="1"/>
  <c r="G4" i="1"/>
  <c r="G92" i="1" l="1"/>
  <c r="H51" i="1"/>
  <c r="G54" i="1"/>
  <c r="H4" i="1"/>
  <c r="H5" i="1"/>
  <c r="H8" i="1" s="1"/>
  <c r="H92" i="1" l="1"/>
  <c r="I51" i="1"/>
  <c r="H54" i="1"/>
  <c r="I4" i="1"/>
  <c r="I5" i="1"/>
  <c r="I8" i="1" s="1"/>
  <c r="I92" i="1" l="1"/>
  <c r="J51" i="1"/>
  <c r="I54" i="1"/>
  <c r="J4" i="1"/>
  <c r="J5" i="1"/>
  <c r="J8" i="1" s="1"/>
  <c r="J92" i="1" l="1"/>
  <c r="K51" i="1"/>
  <c r="J54" i="1"/>
  <c r="K54" i="1" s="1"/>
  <c r="K4" i="1"/>
  <c r="K5" i="1"/>
  <c r="K8" i="1" s="1"/>
  <c r="K92" i="1" l="1"/>
  <c r="B57" i="1"/>
  <c r="B58" i="1" s="1"/>
  <c r="B59" i="1" s="1"/>
  <c r="L51" i="1"/>
  <c r="L5" i="1"/>
  <c r="L8" i="1" s="1"/>
  <c r="L4" i="1"/>
  <c r="L88" i="1" l="1"/>
  <c r="L92" i="1"/>
  <c r="M4" i="1"/>
  <c r="M5" i="1"/>
  <c r="M8" i="1" s="1"/>
  <c r="M88" i="1" l="1"/>
  <c r="M92" i="1"/>
  <c r="N5" i="1"/>
  <c r="N8" i="1" s="1"/>
  <c r="N4" i="1"/>
  <c r="N92" i="1" l="1"/>
  <c r="N88" i="1"/>
  <c r="O5" i="1"/>
  <c r="O8" i="1" s="1"/>
  <c r="O4" i="1"/>
  <c r="O92" i="1" l="1"/>
  <c r="O88" i="1"/>
  <c r="P4" i="1"/>
  <c r="P5" i="1"/>
  <c r="P8" i="1" s="1"/>
  <c r="P88" i="1" l="1"/>
  <c r="Q92" i="1" s="1"/>
  <c r="B94" i="1" s="1"/>
  <c r="P92" i="1"/>
  <c r="Q4" i="1"/>
  <c r="R5" i="1" s="1"/>
  <c r="R8" i="1" s="1"/>
  <c r="Q5" i="1"/>
  <c r="Q8" i="1" s="1"/>
  <c r="B10" i="1" l="1"/>
</calcChain>
</file>

<file path=xl/sharedStrings.xml><?xml version="1.0" encoding="utf-8"?>
<sst xmlns="http://schemas.openxmlformats.org/spreadsheetml/2006/main" count="84" uniqueCount="49">
  <si>
    <t>Ethiopia debt calculations</t>
  </si>
  <si>
    <t>Principal owed</t>
  </si>
  <si>
    <t>Interest</t>
  </si>
  <si>
    <t>Principal payments</t>
  </si>
  <si>
    <t>Cash flow</t>
  </si>
  <si>
    <t>Discount rate</t>
  </si>
  <si>
    <t>NPV</t>
  </si>
  <si>
    <t>Bilateral NPV estimate pre-restructuring - 15 year maturity</t>
  </si>
  <si>
    <t>Private NPV estimate pre-restructuring</t>
  </si>
  <si>
    <t>Restructured bond NPV estimate</t>
  </si>
  <si>
    <t>Debt service as % of exports, IMF, pre restructuring</t>
  </si>
  <si>
    <t>Exports, $ million</t>
  </si>
  <si>
    <t>Growth in exports</t>
  </si>
  <si>
    <t>Debt service, $ million</t>
  </si>
  <si>
    <t>Multilateral exc. IMF</t>
  </si>
  <si>
    <t>IMF</t>
  </si>
  <si>
    <t>Private</t>
  </si>
  <si>
    <t>Bilateral</t>
  </si>
  <si>
    <t>Unknown</t>
  </si>
  <si>
    <t>10% of exports threshold</t>
  </si>
  <si>
    <t>Debt service to exports from IMF DSA</t>
  </si>
  <si>
    <t>Debt service by creditor group estimate</t>
  </si>
  <si>
    <t>Debt service by creditor group estimate, post bondholder restructuring</t>
  </si>
  <si>
    <t>Bond original payment schedule</t>
  </si>
  <si>
    <t>Source</t>
  </si>
  <si>
    <t>XS1151974877</t>
  </si>
  <si>
    <t>https://www.boerse-frankfurt.de/bond/xs1151974877-aethiopien-demokratische-bundesrepublik-6-625-14-24</t>
  </si>
  <si>
    <t>Potential profit</t>
  </si>
  <si>
    <t>Restructuring proposal</t>
  </si>
  <si>
    <t>https://projects.sodali.com/ethiopia/details</t>
  </si>
  <si>
    <t>Profit</t>
  </si>
  <si>
    <t>Profit rate</t>
  </si>
  <si>
    <t>Price of bonds</t>
  </si>
  <si>
    <t>Ethiopia bond prices</t>
  </si>
  <si>
    <t>Average price 2022-2024</t>
  </si>
  <si>
    <t>Profit for buyers of bonds</t>
  </si>
  <si>
    <t>Price</t>
  </si>
  <si>
    <t>Cost</t>
  </si>
  <si>
    <t>Average US 7 year yield</t>
  </si>
  <si>
    <t>Average yield 2022-2024</t>
  </si>
  <si>
    <t>US Treasury 15 year yield</t>
  </si>
  <si>
    <t>Average US Treasury 7 year yield 2022-2024</t>
  </si>
  <si>
    <t>Export growth</t>
  </si>
  <si>
    <t>IMF prediction</t>
  </si>
  <si>
    <t>Index</t>
  </si>
  <si>
    <t>Calcualting average growth</t>
  </si>
  <si>
    <t>Bilateral NPV if:</t>
  </si>
  <si>
    <t>Keep interest rate at 3%</t>
  </si>
  <si>
    <t>No principal repayments until 2032, then paid off by 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</si>
</sst>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49" fontId="1" fillId="0" borderId="0" xfId="0" applyNumberFormat="1" applyFont="1"/>
    <xf numFmtId="0" fontId="2" fillId="0" borderId="0" xfId="1"/>
    <xf numFmtId="17" fontId="0" fillId="0" borderId="0" xfId="0" applyNumberFormat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rojects.sodali.com/ethiopia/detai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81CFF-C85B-469C-BC18-24DEE643CD79}">
  <dimension ref="A1:V102"/>
  <sheetViews>
    <sheetView tabSelected="1" workbookViewId="0">
      <selection activeCell="A81" sqref="A81"/>
    </sheetView>
  </sheetViews>
  <sheetFormatPr defaultRowHeight="14.5" x14ac:dyDescent="0.35"/>
  <cols>
    <col min="2" max="2" width="10.7265625" customWidth="1"/>
  </cols>
  <sheetData>
    <row r="1" spans="1:18" x14ac:dyDescent="0.35">
      <c r="A1" s="1" t="s">
        <v>0</v>
      </c>
    </row>
    <row r="3" spans="1:18" x14ac:dyDescent="0.35">
      <c r="A3" s="1" t="s">
        <v>7</v>
      </c>
      <c r="C3">
        <v>2022</v>
      </c>
      <c r="D3">
        <f>C3+1</f>
        <v>2023</v>
      </c>
      <c r="E3">
        <f t="shared" ref="E3:R3" si="0">D3+1</f>
        <v>2024</v>
      </c>
      <c r="F3">
        <f t="shared" si="0"/>
        <v>2025</v>
      </c>
      <c r="G3">
        <f t="shared" si="0"/>
        <v>2026</v>
      </c>
      <c r="H3">
        <f t="shared" si="0"/>
        <v>2027</v>
      </c>
      <c r="I3">
        <f t="shared" si="0"/>
        <v>2028</v>
      </c>
      <c r="J3">
        <f t="shared" si="0"/>
        <v>2029</v>
      </c>
      <c r="K3">
        <f t="shared" si="0"/>
        <v>2030</v>
      </c>
      <c r="L3">
        <f t="shared" si="0"/>
        <v>2031</v>
      </c>
      <c r="M3">
        <f t="shared" si="0"/>
        <v>2032</v>
      </c>
      <c r="N3">
        <f t="shared" si="0"/>
        <v>2033</v>
      </c>
      <c r="O3">
        <f t="shared" si="0"/>
        <v>2034</v>
      </c>
      <c r="P3">
        <f t="shared" si="0"/>
        <v>2035</v>
      </c>
      <c r="Q3">
        <f t="shared" si="0"/>
        <v>2036</v>
      </c>
      <c r="R3">
        <f t="shared" si="0"/>
        <v>2037</v>
      </c>
    </row>
    <row r="4" spans="1:18" x14ac:dyDescent="0.35">
      <c r="A4" s="2" t="s">
        <v>1</v>
      </c>
      <c r="C4">
        <v>12406</v>
      </c>
      <c r="D4">
        <f>C4-D6</f>
        <v>11578.93333341604</v>
      </c>
      <c r="E4">
        <f t="shared" ref="E4:Q4" si="1">D4-E6</f>
        <v>10751.86666683208</v>
      </c>
      <c r="F4">
        <f t="shared" si="1"/>
        <v>9924.8000002481203</v>
      </c>
      <c r="G4">
        <f t="shared" si="1"/>
        <v>9097.7333336641605</v>
      </c>
      <c r="H4">
        <f t="shared" si="1"/>
        <v>8270.6666670802006</v>
      </c>
      <c r="I4">
        <f t="shared" si="1"/>
        <v>7443.6000004962407</v>
      </c>
      <c r="J4">
        <f t="shared" si="1"/>
        <v>6616.5333339122808</v>
      </c>
      <c r="K4">
        <f t="shared" si="1"/>
        <v>5789.4666673283209</v>
      </c>
      <c r="L4">
        <f t="shared" si="1"/>
        <v>4962.400000744361</v>
      </c>
      <c r="M4">
        <f t="shared" si="1"/>
        <v>4135.3333341604011</v>
      </c>
      <c r="N4">
        <f t="shared" si="1"/>
        <v>3308.2666675764413</v>
      </c>
      <c r="O4">
        <f t="shared" si="1"/>
        <v>2481.2000009924814</v>
      </c>
      <c r="P4">
        <f t="shared" si="1"/>
        <v>1654.1333344085215</v>
      </c>
      <c r="Q4">
        <f t="shared" si="1"/>
        <v>827.06666782456148</v>
      </c>
      <c r="R4">
        <v>0</v>
      </c>
    </row>
    <row r="5" spans="1:18" x14ac:dyDescent="0.35">
      <c r="A5" s="2" t="s">
        <v>2</v>
      </c>
      <c r="D5">
        <f>C4*0.03</f>
        <v>372.18</v>
      </c>
      <c r="E5">
        <f t="shared" ref="E5:R5" si="2">D4*0.03</f>
        <v>347.36800000248121</v>
      </c>
      <c r="F5">
        <f t="shared" si="2"/>
        <v>322.55600000496241</v>
      </c>
      <c r="G5">
        <f t="shared" si="2"/>
        <v>297.74400000744362</v>
      </c>
      <c r="H5">
        <f t="shared" si="2"/>
        <v>272.93200000992482</v>
      </c>
      <c r="I5">
        <f t="shared" si="2"/>
        <v>248.120000012406</v>
      </c>
      <c r="J5">
        <f t="shared" si="2"/>
        <v>223.3080000148872</v>
      </c>
      <c r="K5">
        <f t="shared" si="2"/>
        <v>198.49600001736843</v>
      </c>
      <c r="L5">
        <f t="shared" si="2"/>
        <v>173.68400001984963</v>
      </c>
      <c r="M5">
        <f t="shared" si="2"/>
        <v>148.87200002233084</v>
      </c>
      <c r="N5">
        <f t="shared" si="2"/>
        <v>124.06000002481203</v>
      </c>
      <c r="O5">
        <f t="shared" si="2"/>
        <v>99.24800002729323</v>
      </c>
      <c r="P5">
        <f t="shared" si="2"/>
        <v>74.436000029774434</v>
      </c>
      <c r="Q5">
        <f t="shared" si="2"/>
        <v>49.624000032255644</v>
      </c>
      <c r="R5">
        <f t="shared" si="2"/>
        <v>24.812000034736844</v>
      </c>
    </row>
    <row r="6" spans="1:18" x14ac:dyDescent="0.35">
      <c r="A6" s="2" t="s">
        <v>3</v>
      </c>
      <c r="D6">
        <f>C4*0.06666666666</f>
        <v>827.06666658396</v>
      </c>
      <c r="E6">
        <f>D6</f>
        <v>827.06666658396</v>
      </c>
      <c r="F6">
        <f t="shared" ref="F6:Q6" si="3">E6</f>
        <v>827.06666658396</v>
      </c>
      <c r="G6">
        <f t="shared" si="3"/>
        <v>827.06666658396</v>
      </c>
      <c r="H6">
        <f t="shared" si="3"/>
        <v>827.06666658396</v>
      </c>
      <c r="I6">
        <f t="shared" si="3"/>
        <v>827.06666658396</v>
      </c>
      <c r="J6">
        <f t="shared" si="3"/>
        <v>827.06666658396</v>
      </c>
      <c r="K6">
        <f t="shared" si="3"/>
        <v>827.06666658396</v>
      </c>
      <c r="L6">
        <f t="shared" si="3"/>
        <v>827.06666658396</v>
      </c>
      <c r="M6">
        <f t="shared" si="3"/>
        <v>827.06666658396</v>
      </c>
      <c r="N6">
        <f t="shared" si="3"/>
        <v>827.06666658396</v>
      </c>
      <c r="O6">
        <f t="shared" si="3"/>
        <v>827.06666658396</v>
      </c>
      <c r="P6">
        <f t="shared" si="3"/>
        <v>827.06666658396</v>
      </c>
      <c r="Q6">
        <f t="shared" si="3"/>
        <v>827.06666658396</v>
      </c>
      <c r="R6">
        <f>Q6</f>
        <v>827.06666658396</v>
      </c>
    </row>
    <row r="8" spans="1:18" x14ac:dyDescent="0.35">
      <c r="A8" s="2" t="s">
        <v>4</v>
      </c>
      <c r="D8">
        <f>D5+D6</f>
        <v>1199.24666658396</v>
      </c>
      <c r="E8">
        <f t="shared" ref="E8:R8" si="4">E5+E6</f>
        <v>1174.4346665864412</v>
      </c>
      <c r="F8">
        <f t="shared" si="4"/>
        <v>1149.6226665889224</v>
      </c>
      <c r="G8">
        <f t="shared" si="4"/>
        <v>1124.8106665914036</v>
      </c>
      <c r="H8">
        <f t="shared" si="4"/>
        <v>1099.9986665938848</v>
      </c>
      <c r="I8">
        <f t="shared" si="4"/>
        <v>1075.186666596366</v>
      </c>
      <c r="J8">
        <f t="shared" si="4"/>
        <v>1050.3746665988472</v>
      </c>
      <c r="K8">
        <f t="shared" si="4"/>
        <v>1025.5626666013284</v>
      </c>
      <c r="L8">
        <f t="shared" si="4"/>
        <v>1000.7506666038096</v>
      </c>
      <c r="M8">
        <f t="shared" si="4"/>
        <v>975.93866660629078</v>
      </c>
      <c r="N8">
        <f t="shared" si="4"/>
        <v>951.12666660877198</v>
      </c>
      <c r="O8">
        <f t="shared" si="4"/>
        <v>926.31466661125319</v>
      </c>
      <c r="P8">
        <f t="shared" si="4"/>
        <v>901.50266661373439</v>
      </c>
      <c r="Q8">
        <f t="shared" si="4"/>
        <v>876.69066661621559</v>
      </c>
      <c r="R8">
        <f t="shared" si="4"/>
        <v>851.8786666186968</v>
      </c>
    </row>
    <row r="9" spans="1:18" x14ac:dyDescent="0.35">
      <c r="A9" s="2" t="s">
        <v>5</v>
      </c>
      <c r="B9">
        <v>0.05</v>
      </c>
    </row>
    <row r="10" spans="1:18" x14ac:dyDescent="0.35">
      <c r="A10" s="2" t="s">
        <v>6</v>
      </c>
      <c r="B10" s="4">
        <f>NPV(B9,D8:R8)</f>
        <v>10877.467669209718</v>
      </c>
    </row>
    <row r="12" spans="1:18" x14ac:dyDescent="0.35">
      <c r="A12" s="1" t="s">
        <v>8</v>
      </c>
    </row>
    <row r="13" spans="1:18" x14ac:dyDescent="0.35">
      <c r="A13" s="2" t="s">
        <v>1</v>
      </c>
      <c r="C13">
        <v>1255</v>
      </c>
      <c r="D13">
        <f>C13-D15</f>
        <v>1255</v>
      </c>
      <c r="E13">
        <f t="shared" ref="E13" si="5">D13-E15</f>
        <v>0</v>
      </c>
    </row>
    <row r="14" spans="1:18" x14ac:dyDescent="0.35">
      <c r="A14" s="2" t="s">
        <v>2</v>
      </c>
      <c r="D14">
        <f>C13*0.06625</f>
        <v>83.143749999999997</v>
      </c>
      <c r="E14">
        <f>D13*0.06625</f>
        <v>83.143749999999997</v>
      </c>
    </row>
    <row r="15" spans="1:18" x14ac:dyDescent="0.35">
      <c r="A15" s="2" t="s">
        <v>3</v>
      </c>
      <c r="D15">
        <v>0</v>
      </c>
      <c r="E15">
        <v>1255</v>
      </c>
    </row>
    <row r="17" spans="1:11" x14ac:dyDescent="0.35">
      <c r="A17" s="2" t="s">
        <v>4</v>
      </c>
      <c r="D17">
        <f>D14+D15</f>
        <v>83.143749999999997</v>
      </c>
      <c r="E17">
        <f t="shared" ref="E17" si="6">E14+E15</f>
        <v>1338.14375</v>
      </c>
    </row>
    <row r="18" spans="1:11" x14ac:dyDescent="0.35">
      <c r="A18" s="2" t="s">
        <v>5</v>
      </c>
      <c r="B18">
        <v>0.05</v>
      </c>
    </row>
    <row r="19" spans="1:11" x14ac:dyDescent="0.35">
      <c r="A19" s="2" t="s">
        <v>6</v>
      </c>
      <c r="B19" s="4">
        <f>NPV(B18,D17:E17)</f>
        <v>1292.9203514739229</v>
      </c>
    </row>
    <row r="21" spans="1:11" x14ac:dyDescent="0.35">
      <c r="A21" s="5" t="s">
        <v>9</v>
      </c>
    </row>
    <row r="22" spans="1:11" x14ac:dyDescent="0.35">
      <c r="A22" s="2" t="s">
        <v>4</v>
      </c>
      <c r="D22">
        <v>33.125</v>
      </c>
      <c r="E22">
        <v>107</v>
      </c>
      <c r="F22">
        <v>41</v>
      </c>
      <c r="G22">
        <v>132</v>
      </c>
      <c r="H22">
        <v>216</v>
      </c>
      <c r="I22">
        <v>207</v>
      </c>
      <c r="J22">
        <v>198</v>
      </c>
      <c r="K22">
        <v>189</v>
      </c>
    </row>
    <row r="23" spans="1:11" x14ac:dyDescent="0.35">
      <c r="A23" s="2" t="s">
        <v>5</v>
      </c>
      <c r="B23">
        <v>0.05</v>
      </c>
    </row>
    <row r="24" spans="1:11" x14ac:dyDescent="0.35">
      <c r="A24" s="2" t="s">
        <v>6</v>
      </c>
      <c r="B24" s="4">
        <f>NPV(B23,D22:K22)</f>
        <v>864.95962330510417</v>
      </c>
    </row>
    <row r="26" spans="1:11" x14ac:dyDescent="0.35">
      <c r="A26" s="1" t="s">
        <v>20</v>
      </c>
    </row>
    <row r="27" spans="1:11" x14ac:dyDescent="0.35">
      <c r="B27">
        <v>2025</v>
      </c>
      <c r="C27">
        <f>B27+1</f>
        <v>2026</v>
      </c>
      <c r="D27">
        <f t="shared" ref="D27:G27" si="7">C27+1</f>
        <v>2027</v>
      </c>
      <c r="E27">
        <f t="shared" si="7"/>
        <v>2028</v>
      </c>
      <c r="F27">
        <f t="shared" si="7"/>
        <v>2029</v>
      </c>
      <c r="G27">
        <f t="shared" si="7"/>
        <v>2030</v>
      </c>
    </row>
    <row r="28" spans="1:11" x14ac:dyDescent="0.35">
      <c r="A28" t="s">
        <v>10</v>
      </c>
      <c r="B28">
        <v>24.7</v>
      </c>
      <c r="C28">
        <v>17.399999999999999</v>
      </c>
      <c r="D28">
        <v>16.100000000000001</v>
      </c>
      <c r="E28">
        <v>17.7</v>
      </c>
      <c r="F28">
        <v>17.399999999999999</v>
      </c>
      <c r="G28">
        <v>17.399999999999999</v>
      </c>
    </row>
    <row r="29" spans="1:11" x14ac:dyDescent="0.35">
      <c r="A29" t="s">
        <v>11</v>
      </c>
      <c r="B29">
        <v>8915</v>
      </c>
      <c r="C29">
        <v>9943</v>
      </c>
      <c r="D29">
        <v>11128</v>
      </c>
      <c r="E29">
        <v>11958</v>
      </c>
      <c r="F29">
        <f>E29*1.035</f>
        <v>12376.529999999999</v>
      </c>
      <c r="G29">
        <f>F29*1.035</f>
        <v>12809.708549999998</v>
      </c>
    </row>
    <row r="30" spans="1:11" x14ac:dyDescent="0.35">
      <c r="A30" t="s">
        <v>12</v>
      </c>
      <c r="C30">
        <f>(C29-B29)/B29</f>
        <v>0.11531127313516545</v>
      </c>
      <c r="D30">
        <f t="shared" ref="D30:F30" si="8">(D29-C29)/C29</f>
        <v>0.1191793221361762</v>
      </c>
      <c r="E30">
        <f t="shared" si="8"/>
        <v>7.4586628324946086E-2</v>
      </c>
      <c r="F30">
        <f t="shared" si="8"/>
        <v>3.4999999999999899E-2</v>
      </c>
      <c r="G30">
        <f>F30</f>
        <v>3.4999999999999899E-2</v>
      </c>
    </row>
    <row r="31" spans="1:11" x14ac:dyDescent="0.35">
      <c r="A31" t="s">
        <v>13</v>
      </c>
      <c r="B31">
        <f>B29*(B28/100)</f>
        <v>2202.0050000000001</v>
      </c>
      <c r="C31">
        <f t="shared" ref="C31:G31" si="9">C29*(C28/100)</f>
        <v>1730.0819999999999</v>
      </c>
      <c r="D31">
        <f t="shared" si="9"/>
        <v>1791.6079999999999</v>
      </c>
      <c r="E31">
        <f t="shared" si="9"/>
        <v>2116.5659999999998</v>
      </c>
      <c r="F31">
        <f t="shared" si="9"/>
        <v>2153.5162199999995</v>
      </c>
      <c r="G31">
        <f t="shared" si="9"/>
        <v>2228.8892876999994</v>
      </c>
    </row>
    <row r="33" spans="1:7" x14ac:dyDescent="0.35">
      <c r="A33" s="1" t="s">
        <v>21</v>
      </c>
    </row>
    <row r="34" spans="1:7" x14ac:dyDescent="0.35">
      <c r="A34" t="s">
        <v>14</v>
      </c>
      <c r="B34">
        <v>478</v>
      </c>
      <c r="C34">
        <f>C31-C35-C37</f>
        <v>529.27133340859632</v>
      </c>
      <c r="D34">
        <f>D31-D35-D37</f>
        <v>598.60933340611518</v>
      </c>
      <c r="E34">
        <f>E31-E35-E37</f>
        <v>983.37933340363384</v>
      </c>
      <c r="F34">
        <f>F31-F35-F37</f>
        <v>1029.1415534011524</v>
      </c>
      <c r="G34">
        <f>G31-G35-G37</f>
        <v>898.32662109867101</v>
      </c>
    </row>
    <row r="35" spans="1:7" x14ac:dyDescent="0.35">
      <c r="A35" t="s">
        <v>15</v>
      </c>
      <c r="B35">
        <v>161</v>
      </c>
      <c r="C35">
        <v>76</v>
      </c>
      <c r="D35">
        <v>93</v>
      </c>
      <c r="E35">
        <v>58</v>
      </c>
      <c r="F35">
        <v>74</v>
      </c>
      <c r="G35">
        <v>305</v>
      </c>
    </row>
    <row r="36" spans="1:7" x14ac:dyDescent="0.35">
      <c r="A36" t="s">
        <v>16</v>
      </c>
      <c r="B36">
        <v>53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x14ac:dyDescent="0.35">
      <c r="A37" t="s">
        <v>17</v>
      </c>
      <c r="B37">
        <v>1038</v>
      </c>
      <c r="C37">
        <v>1124.8106665914036</v>
      </c>
      <c r="D37">
        <v>1099.9986665938848</v>
      </c>
      <c r="E37">
        <v>1075.186666596366</v>
      </c>
      <c r="F37">
        <v>1050.3746665988472</v>
      </c>
      <c r="G37">
        <v>1025.5626666013284</v>
      </c>
    </row>
    <row r="38" spans="1:7" x14ac:dyDescent="0.35">
      <c r="A38" t="s">
        <v>18</v>
      </c>
      <c r="B38">
        <f>B31-B34-B35-B36-B37</f>
        <v>472.00500000000011</v>
      </c>
    </row>
    <row r="40" spans="1:7" x14ac:dyDescent="0.35">
      <c r="A40" s="1" t="s">
        <v>22</v>
      </c>
    </row>
    <row r="41" spans="1:7" x14ac:dyDescent="0.35">
      <c r="A41" t="s">
        <v>14</v>
      </c>
      <c r="B41">
        <v>478</v>
      </c>
      <c r="C41">
        <v>529.27133340859632</v>
      </c>
      <c r="D41">
        <v>598.60933340611518</v>
      </c>
      <c r="E41">
        <v>983.37933340363384</v>
      </c>
      <c r="F41">
        <v>1029.1415534011524</v>
      </c>
      <c r="G41">
        <v>898.32662109867101</v>
      </c>
    </row>
    <row r="42" spans="1:7" x14ac:dyDescent="0.35">
      <c r="A42" t="s">
        <v>15</v>
      </c>
      <c r="B42">
        <v>161</v>
      </c>
      <c r="C42">
        <v>76</v>
      </c>
      <c r="D42">
        <v>93</v>
      </c>
      <c r="E42">
        <v>58</v>
      </c>
      <c r="F42">
        <v>74</v>
      </c>
      <c r="G42">
        <v>305</v>
      </c>
    </row>
    <row r="43" spans="1:7" x14ac:dyDescent="0.35">
      <c r="A43" t="s">
        <v>16</v>
      </c>
      <c r="B43">
        <f>F22*1.26</f>
        <v>51.660000000000004</v>
      </c>
      <c r="C43">
        <f t="shared" ref="C43:G43" si="10">G22*1.26</f>
        <v>166.32</v>
      </c>
      <c r="D43">
        <f t="shared" si="10"/>
        <v>272.16000000000003</v>
      </c>
      <c r="E43">
        <f t="shared" si="10"/>
        <v>260.82</v>
      </c>
      <c r="F43">
        <f t="shared" si="10"/>
        <v>249.48</v>
      </c>
      <c r="G43">
        <f t="shared" si="10"/>
        <v>238.14000000000001</v>
      </c>
    </row>
    <row r="44" spans="1:7" x14ac:dyDescent="0.35">
      <c r="A44" t="s">
        <v>17</v>
      </c>
      <c r="B44">
        <v>1038</v>
      </c>
      <c r="C44">
        <v>1124.8106665914036</v>
      </c>
      <c r="D44">
        <v>1099.9986665938848</v>
      </c>
      <c r="E44">
        <v>1075.186666596366</v>
      </c>
      <c r="F44">
        <v>1050.3746665988472</v>
      </c>
      <c r="G44">
        <v>1025.5626666013284</v>
      </c>
    </row>
    <row r="45" spans="1:7" x14ac:dyDescent="0.35">
      <c r="A45" t="s">
        <v>18</v>
      </c>
      <c r="B45">
        <v>472.00500000000011</v>
      </c>
    </row>
    <row r="46" spans="1:7" x14ac:dyDescent="0.35">
      <c r="A46" t="s">
        <v>19</v>
      </c>
      <c r="B46">
        <f>B29*0.1</f>
        <v>891.5</v>
      </c>
      <c r="C46">
        <f t="shared" ref="C46:G46" si="11">C29*0.1</f>
        <v>994.30000000000007</v>
      </c>
      <c r="D46">
        <f t="shared" si="11"/>
        <v>1112.8</v>
      </c>
      <c r="E46">
        <f t="shared" si="11"/>
        <v>1195.8</v>
      </c>
      <c r="F46">
        <f t="shared" si="11"/>
        <v>1237.653</v>
      </c>
      <c r="G46">
        <f t="shared" si="11"/>
        <v>1280.9708549999998</v>
      </c>
    </row>
    <row r="48" spans="1:7" x14ac:dyDescent="0.35">
      <c r="A48" s="1" t="s">
        <v>23</v>
      </c>
    </row>
    <row r="49" spans="1:22" x14ac:dyDescent="0.35">
      <c r="A49" t="s">
        <v>23</v>
      </c>
      <c r="B49" t="s">
        <v>24</v>
      </c>
      <c r="C49">
        <v>2015</v>
      </c>
      <c r="D49">
        <f>C49+1</f>
        <v>2016</v>
      </c>
      <c r="E49">
        <f t="shared" ref="E49:S49" si="12">D49+1</f>
        <v>2017</v>
      </c>
      <c r="F49">
        <f t="shared" si="12"/>
        <v>2018</v>
      </c>
      <c r="G49">
        <f t="shared" si="12"/>
        <v>2019</v>
      </c>
      <c r="H49">
        <f t="shared" si="12"/>
        <v>2020</v>
      </c>
      <c r="I49">
        <f t="shared" si="12"/>
        <v>2021</v>
      </c>
      <c r="J49">
        <f t="shared" si="12"/>
        <v>2022</v>
      </c>
      <c r="K49">
        <f t="shared" si="12"/>
        <v>2023</v>
      </c>
      <c r="L49">
        <f t="shared" si="12"/>
        <v>2024</v>
      </c>
      <c r="M49">
        <f t="shared" si="12"/>
        <v>2025</v>
      </c>
      <c r="N49">
        <f t="shared" si="12"/>
        <v>2026</v>
      </c>
      <c r="O49">
        <f t="shared" si="12"/>
        <v>2027</v>
      </c>
      <c r="P49">
        <f t="shared" si="12"/>
        <v>2028</v>
      </c>
      <c r="Q49">
        <f t="shared" si="12"/>
        <v>2029</v>
      </c>
      <c r="R49">
        <f t="shared" si="12"/>
        <v>2030</v>
      </c>
      <c r="S49">
        <f t="shared" si="12"/>
        <v>2031</v>
      </c>
    </row>
    <row r="50" spans="1:22" x14ac:dyDescent="0.35">
      <c r="A50" t="s">
        <v>25</v>
      </c>
      <c r="B50" t="s">
        <v>26</v>
      </c>
    </row>
    <row r="51" spans="1:22" x14ac:dyDescent="0.35">
      <c r="A51" t="s">
        <v>4</v>
      </c>
      <c r="B51">
        <v>6.625</v>
      </c>
      <c r="C51">
        <f>1000*(B51/100)</f>
        <v>66.25</v>
      </c>
      <c r="D51">
        <f>C51</f>
        <v>66.25</v>
      </c>
      <c r="E51">
        <f t="shared" ref="E51:K51" si="13">D51</f>
        <v>66.25</v>
      </c>
      <c r="F51">
        <f t="shared" si="13"/>
        <v>66.25</v>
      </c>
      <c r="G51">
        <f t="shared" si="13"/>
        <v>66.25</v>
      </c>
      <c r="H51">
        <f t="shared" si="13"/>
        <v>66.25</v>
      </c>
      <c r="I51">
        <f t="shared" si="13"/>
        <v>66.25</v>
      </c>
      <c r="J51">
        <f t="shared" si="13"/>
        <v>66.25</v>
      </c>
      <c r="K51">
        <f t="shared" si="13"/>
        <v>66.25</v>
      </c>
      <c r="L51">
        <f>1000+K51</f>
        <v>1066.25</v>
      </c>
    </row>
    <row r="53" spans="1:22" x14ac:dyDescent="0.35">
      <c r="A53" s="1" t="s">
        <v>28</v>
      </c>
    </row>
    <row r="54" spans="1:22" x14ac:dyDescent="0.35">
      <c r="A54" t="s">
        <v>28</v>
      </c>
      <c r="B54" s="6" t="s">
        <v>29</v>
      </c>
      <c r="C54">
        <f>C51</f>
        <v>66.25</v>
      </c>
      <c r="D54">
        <f t="shared" ref="D54:J54" si="14">D51</f>
        <v>66.25</v>
      </c>
      <c r="E54">
        <f t="shared" si="14"/>
        <v>66.25</v>
      </c>
      <c r="F54">
        <f t="shared" si="14"/>
        <v>66.25</v>
      </c>
      <c r="G54">
        <f t="shared" si="14"/>
        <v>66.25</v>
      </c>
      <c r="H54">
        <f t="shared" si="14"/>
        <v>66.25</v>
      </c>
      <c r="I54">
        <f t="shared" si="14"/>
        <v>66.25</v>
      </c>
      <c r="J54">
        <f t="shared" si="14"/>
        <v>66.25</v>
      </c>
      <c r="K54">
        <f>J54/2</f>
        <v>33.125</v>
      </c>
      <c r="L54">
        <v>107</v>
      </c>
      <c r="M54">
        <v>41</v>
      </c>
      <c r="N54">
        <v>132</v>
      </c>
      <c r="O54">
        <v>216</v>
      </c>
      <c r="P54">
        <v>207</v>
      </c>
      <c r="Q54">
        <v>198</v>
      </c>
      <c r="R54">
        <v>189</v>
      </c>
    </row>
    <row r="56" spans="1:22" x14ac:dyDescent="0.35">
      <c r="A56" t="s">
        <v>40</v>
      </c>
      <c r="B56">
        <v>2.8000000000000001E-2</v>
      </c>
    </row>
    <row r="57" spans="1:22" x14ac:dyDescent="0.35">
      <c r="A57" t="s">
        <v>27</v>
      </c>
      <c r="B57" s="3">
        <f>NPV(B56,C54:S54)</f>
        <v>1244.8685845355997</v>
      </c>
    </row>
    <row r="58" spans="1:22" x14ac:dyDescent="0.35">
      <c r="A58" t="s">
        <v>30</v>
      </c>
      <c r="B58" s="3">
        <f>B57-1000</f>
        <v>244.86858453559967</v>
      </c>
    </row>
    <row r="59" spans="1:22" x14ac:dyDescent="0.35">
      <c r="A59" t="s">
        <v>31</v>
      </c>
      <c r="B59" s="3">
        <f>B58/1000</f>
        <v>0.24486858453559968</v>
      </c>
    </row>
    <row r="61" spans="1:22" x14ac:dyDescent="0.35">
      <c r="A61" s="1" t="s">
        <v>32</v>
      </c>
    </row>
    <row r="62" spans="1:22" x14ac:dyDescent="0.35">
      <c r="A62" t="s">
        <v>33</v>
      </c>
      <c r="B62" s="7">
        <v>43831</v>
      </c>
      <c r="C62" s="7">
        <v>43922</v>
      </c>
      <c r="D62" s="7">
        <v>44013</v>
      </c>
      <c r="E62" s="7">
        <v>44105</v>
      </c>
      <c r="F62" s="7">
        <v>44197</v>
      </c>
      <c r="G62" s="7">
        <v>44287</v>
      </c>
      <c r="H62" s="7">
        <v>44378</v>
      </c>
      <c r="I62" s="7">
        <v>44470</v>
      </c>
      <c r="J62" s="7">
        <v>44562</v>
      </c>
      <c r="K62" s="7">
        <v>44652</v>
      </c>
      <c r="L62" s="7">
        <v>44743</v>
      </c>
      <c r="M62" s="7">
        <v>44835</v>
      </c>
      <c r="N62" s="7">
        <v>44927</v>
      </c>
      <c r="O62" s="7">
        <v>45017</v>
      </c>
      <c r="P62" s="7">
        <v>45108</v>
      </c>
      <c r="Q62" s="7">
        <v>45200</v>
      </c>
      <c r="R62" s="7">
        <v>45292</v>
      </c>
      <c r="S62" s="7">
        <v>45383</v>
      </c>
      <c r="T62" s="7">
        <v>45474</v>
      </c>
      <c r="U62" s="7">
        <v>45566</v>
      </c>
      <c r="V62" t="s">
        <v>34</v>
      </c>
    </row>
    <row r="63" spans="1:22" x14ac:dyDescent="0.35">
      <c r="B63">
        <v>108</v>
      </c>
      <c r="C63">
        <v>85</v>
      </c>
      <c r="D63">
        <v>99</v>
      </c>
      <c r="E63">
        <v>100</v>
      </c>
      <c r="F63">
        <v>100</v>
      </c>
      <c r="G63">
        <v>96</v>
      </c>
      <c r="H63">
        <v>89</v>
      </c>
      <c r="I63">
        <v>82</v>
      </c>
      <c r="J63">
        <v>75</v>
      </c>
      <c r="K63">
        <v>69</v>
      </c>
      <c r="L63">
        <v>49</v>
      </c>
      <c r="M63">
        <v>51</v>
      </c>
      <c r="N63">
        <v>69</v>
      </c>
      <c r="O63">
        <v>69</v>
      </c>
      <c r="P63">
        <v>69</v>
      </c>
      <c r="Q63">
        <v>63</v>
      </c>
      <c r="R63">
        <v>68</v>
      </c>
      <c r="S63">
        <v>70</v>
      </c>
      <c r="T63">
        <v>78</v>
      </c>
      <c r="U63">
        <v>75</v>
      </c>
      <c r="V63">
        <f>AVERAGE(J63:U63)</f>
        <v>67.083333333333329</v>
      </c>
    </row>
    <row r="65" spans="1:21" x14ac:dyDescent="0.35">
      <c r="A65" s="1" t="s">
        <v>35</v>
      </c>
    </row>
    <row r="66" spans="1:21" x14ac:dyDescent="0.35">
      <c r="B66" t="s">
        <v>36</v>
      </c>
      <c r="C66" t="s">
        <v>37</v>
      </c>
    </row>
    <row r="67" spans="1:21" x14ac:dyDescent="0.35">
      <c r="A67" t="s">
        <v>25</v>
      </c>
      <c r="B67">
        <f>V63</f>
        <v>67.083333333333329</v>
      </c>
      <c r="C67">
        <f>1000*(B67/100)</f>
        <v>670.83333333333326</v>
      </c>
    </row>
    <row r="68" spans="1:21" x14ac:dyDescent="0.35">
      <c r="A68" t="s">
        <v>5</v>
      </c>
      <c r="B68">
        <v>3.5999999999999997E-2</v>
      </c>
      <c r="C68" t="s">
        <v>41</v>
      </c>
    </row>
    <row r="70" spans="1:21" x14ac:dyDescent="0.35">
      <c r="A70" t="s">
        <v>6</v>
      </c>
      <c r="B70" s="3">
        <f>NPV(B68,L54:S54)</f>
        <v>928.8426506467556</v>
      </c>
    </row>
    <row r="71" spans="1:21" x14ac:dyDescent="0.35">
      <c r="A71" t="s">
        <v>30</v>
      </c>
      <c r="B71" s="3">
        <f>B70-C67</f>
        <v>258.00931731342234</v>
      </c>
    </row>
    <row r="72" spans="1:21" x14ac:dyDescent="0.35">
      <c r="A72" t="s">
        <v>31</v>
      </c>
      <c r="B72" s="8">
        <f>B71/C67</f>
        <v>0.38461016245479113</v>
      </c>
    </row>
    <row r="74" spans="1:21" x14ac:dyDescent="0.35">
      <c r="A74" s="1" t="s">
        <v>38</v>
      </c>
    </row>
    <row r="75" spans="1:21" x14ac:dyDescent="0.35">
      <c r="B75" s="7">
        <v>44562</v>
      </c>
      <c r="C75" s="7">
        <v>44652</v>
      </c>
      <c r="D75" s="7">
        <v>44743</v>
      </c>
      <c r="E75" s="7">
        <v>44835</v>
      </c>
      <c r="F75" s="7">
        <v>44927</v>
      </c>
      <c r="G75" s="7">
        <v>45017</v>
      </c>
      <c r="H75" s="7">
        <v>45108</v>
      </c>
      <c r="I75" s="7">
        <v>45200</v>
      </c>
      <c r="J75" s="7">
        <v>45292</v>
      </c>
      <c r="K75" s="7">
        <v>45383</v>
      </c>
      <c r="L75" s="7">
        <v>45474</v>
      </c>
      <c r="M75" s="7">
        <v>45566</v>
      </c>
      <c r="N75" t="s">
        <v>39</v>
      </c>
    </row>
    <row r="76" spans="1:21" x14ac:dyDescent="0.35">
      <c r="B76">
        <v>1.55</v>
      </c>
      <c r="C76">
        <v>2.5</v>
      </c>
      <c r="D76">
        <v>2.92</v>
      </c>
      <c r="E76">
        <v>3.79</v>
      </c>
      <c r="F76">
        <v>3.89</v>
      </c>
      <c r="G76">
        <v>3.48</v>
      </c>
      <c r="H76">
        <v>4.03</v>
      </c>
      <c r="I76">
        <v>4.7300000000000004</v>
      </c>
      <c r="J76">
        <v>3.95</v>
      </c>
      <c r="K76">
        <v>4.33</v>
      </c>
      <c r="L76">
        <v>4.45</v>
      </c>
      <c r="M76">
        <v>3.6</v>
      </c>
      <c r="N76">
        <f>AVERAGE(B76:M76)</f>
        <v>3.601666666666667</v>
      </c>
    </row>
    <row r="78" spans="1:21" x14ac:dyDescent="0.35">
      <c r="A78" s="1" t="s">
        <v>42</v>
      </c>
      <c r="B78">
        <v>2024</v>
      </c>
      <c r="C78">
        <v>2025</v>
      </c>
      <c r="D78">
        <f>C78+1</f>
        <v>2026</v>
      </c>
      <c r="E78">
        <f>D78+1</f>
        <v>2027</v>
      </c>
      <c r="F78">
        <f t="shared" ref="F78:U78" si="15">E78+1</f>
        <v>2028</v>
      </c>
      <c r="G78">
        <f t="shared" si="15"/>
        <v>2029</v>
      </c>
      <c r="H78">
        <f t="shared" si="15"/>
        <v>2030</v>
      </c>
      <c r="I78">
        <f t="shared" si="15"/>
        <v>2031</v>
      </c>
      <c r="J78">
        <f t="shared" si="15"/>
        <v>2032</v>
      </c>
      <c r="K78">
        <f t="shared" si="15"/>
        <v>2033</v>
      </c>
      <c r="L78">
        <f t="shared" si="15"/>
        <v>2034</v>
      </c>
      <c r="M78">
        <f t="shared" si="15"/>
        <v>2035</v>
      </c>
      <c r="N78">
        <f t="shared" si="15"/>
        <v>2036</v>
      </c>
      <c r="O78">
        <f t="shared" si="15"/>
        <v>2037</v>
      </c>
      <c r="P78">
        <f t="shared" si="15"/>
        <v>2038</v>
      </c>
      <c r="Q78">
        <f t="shared" si="15"/>
        <v>2039</v>
      </c>
      <c r="R78">
        <f t="shared" si="15"/>
        <v>2040</v>
      </c>
      <c r="S78">
        <f t="shared" si="15"/>
        <v>2041</v>
      </c>
      <c r="T78">
        <f t="shared" si="15"/>
        <v>2042</v>
      </c>
      <c r="U78">
        <f t="shared" si="15"/>
        <v>2043</v>
      </c>
    </row>
    <row r="79" spans="1:21" x14ac:dyDescent="0.35">
      <c r="A79" t="s">
        <v>43</v>
      </c>
      <c r="C79">
        <v>7.9</v>
      </c>
      <c r="D79">
        <v>15</v>
      </c>
      <c r="E79">
        <v>17.3</v>
      </c>
      <c r="F79">
        <v>17</v>
      </c>
      <c r="G79">
        <v>7.1</v>
      </c>
      <c r="L79">
        <v>11.4</v>
      </c>
      <c r="U79">
        <v>9</v>
      </c>
    </row>
    <row r="80" spans="1:21" x14ac:dyDescent="0.35">
      <c r="A80" t="s">
        <v>44</v>
      </c>
      <c r="B80">
        <v>100</v>
      </c>
      <c r="C80">
        <f>B80*(1+(C79/100))</f>
        <v>107.89999999999999</v>
      </c>
      <c r="D80">
        <f t="shared" ref="D80:G80" si="16">C80*(1+(D79/100))</f>
        <v>124.08499999999998</v>
      </c>
      <c r="E80">
        <f t="shared" si="16"/>
        <v>145.55170499999997</v>
      </c>
      <c r="F80">
        <f t="shared" si="16"/>
        <v>170.29549484999995</v>
      </c>
      <c r="G80">
        <f t="shared" si="16"/>
        <v>182.38647498434995</v>
      </c>
    </row>
    <row r="81" spans="1:21" x14ac:dyDescent="0.35">
      <c r="A81" t="s">
        <v>45</v>
      </c>
      <c r="B81">
        <v>100</v>
      </c>
      <c r="C81">
        <f>B81*1.127</f>
        <v>112.7</v>
      </c>
      <c r="D81">
        <f t="shared" ref="D81:G81" si="17">C81*1.127</f>
        <v>127.0129</v>
      </c>
      <c r="E81">
        <f t="shared" si="17"/>
        <v>143.14353829999999</v>
      </c>
      <c r="F81">
        <f t="shared" si="17"/>
        <v>161.32276766409998</v>
      </c>
      <c r="G81">
        <f t="shared" si="17"/>
        <v>181.81075915744069</v>
      </c>
    </row>
    <row r="83" spans="1:21" x14ac:dyDescent="0.35">
      <c r="A83" s="1" t="s">
        <v>46</v>
      </c>
    </row>
    <row r="84" spans="1:21" x14ac:dyDescent="0.35">
      <c r="A84" t="s">
        <v>47</v>
      </c>
    </row>
    <row r="85" spans="1:21" x14ac:dyDescent="0.35">
      <c r="A85" t="s">
        <v>48</v>
      </c>
    </row>
    <row r="87" spans="1:21" x14ac:dyDescent="0.35">
      <c r="B87">
        <v>2022</v>
      </c>
      <c r="C87">
        <f>B87+1</f>
        <v>2023</v>
      </c>
      <c r="D87">
        <f t="shared" ref="D87" si="18">C87+1</f>
        <v>2024</v>
      </c>
      <c r="E87">
        <f t="shared" ref="E87" si="19">D87+1</f>
        <v>2025</v>
      </c>
      <c r="F87">
        <f t="shared" ref="F87" si="20">E87+1</f>
        <v>2026</v>
      </c>
      <c r="G87">
        <f t="shared" ref="G87" si="21">F87+1</f>
        <v>2027</v>
      </c>
      <c r="H87">
        <f t="shared" ref="H87" si="22">G87+1</f>
        <v>2028</v>
      </c>
      <c r="I87">
        <f t="shared" ref="I87" si="23">H87+1</f>
        <v>2029</v>
      </c>
      <c r="J87">
        <f t="shared" ref="J87" si="24">I87+1</f>
        <v>2030</v>
      </c>
      <c r="K87">
        <f t="shared" ref="K87" si="25">J87+1</f>
        <v>2031</v>
      </c>
      <c r="L87">
        <f t="shared" ref="L87" si="26">K87+1</f>
        <v>2032</v>
      </c>
      <c r="M87">
        <f t="shared" ref="M87" si="27">L87+1</f>
        <v>2033</v>
      </c>
      <c r="N87">
        <f t="shared" ref="N87" si="28">M87+1</f>
        <v>2034</v>
      </c>
      <c r="O87">
        <f t="shared" ref="O87" si="29">N87+1</f>
        <v>2035</v>
      </c>
      <c r="P87">
        <f t="shared" ref="P87" si="30">O87+1</f>
        <v>2036</v>
      </c>
      <c r="Q87">
        <f t="shared" ref="Q87" si="31">P87+1</f>
        <v>2037</v>
      </c>
      <c r="R87">
        <f t="shared" ref="R87" si="32">Q87+1</f>
        <v>2038</v>
      </c>
      <c r="S87">
        <f t="shared" ref="S87" si="33">R87+1</f>
        <v>2039</v>
      </c>
      <c r="T87">
        <f t="shared" ref="T87:U87" si="34">S87+1</f>
        <v>2040</v>
      </c>
      <c r="U87">
        <f t="shared" si="34"/>
        <v>2041</v>
      </c>
    </row>
    <row r="88" spans="1:21" x14ac:dyDescent="0.35">
      <c r="A88" s="2" t="s">
        <v>1</v>
      </c>
      <c r="B88">
        <f>C4</f>
        <v>12406</v>
      </c>
      <c r="C88">
        <f>B88</f>
        <v>12406</v>
      </c>
      <c r="D88">
        <f t="shared" ref="D88:K88" si="35">C88</f>
        <v>12406</v>
      </c>
      <c r="E88">
        <f t="shared" si="35"/>
        <v>12406</v>
      </c>
      <c r="F88">
        <f t="shared" si="35"/>
        <v>12406</v>
      </c>
      <c r="G88">
        <f t="shared" si="35"/>
        <v>12406</v>
      </c>
      <c r="H88">
        <f t="shared" si="35"/>
        <v>12406</v>
      </c>
      <c r="I88">
        <f t="shared" si="35"/>
        <v>12406</v>
      </c>
      <c r="J88">
        <f t="shared" si="35"/>
        <v>12406</v>
      </c>
      <c r="K88">
        <f t="shared" si="35"/>
        <v>12406</v>
      </c>
      <c r="L88">
        <f t="shared" ref="L88" si="36">K88-L90</f>
        <v>11027.555555555555</v>
      </c>
      <c r="M88">
        <f t="shared" ref="M88" si="37">L88-M90</f>
        <v>9649.1111111111095</v>
      </c>
      <c r="N88">
        <f t="shared" ref="N88" si="38">M88-N90</f>
        <v>8270.6666666666642</v>
      </c>
      <c r="O88">
        <f t="shared" ref="O88" si="39">N88-O90</f>
        <v>6892.2222222222199</v>
      </c>
      <c r="P88">
        <f t="shared" ref="P88" si="40">O88-P90</f>
        <v>5513.7777777777756</v>
      </c>
      <c r="Q88">
        <f t="shared" ref="Q88" si="41">P88-Q90</f>
        <v>4135.3333333333312</v>
      </c>
      <c r="R88">
        <f t="shared" ref="R88" si="42">Q88-R90</f>
        <v>2756.8888888888869</v>
      </c>
      <c r="S88">
        <f t="shared" ref="S88" si="43">R88-S90</f>
        <v>1378.4444444444425</v>
      </c>
      <c r="T88">
        <v>0</v>
      </c>
      <c r="U88">
        <v>0</v>
      </c>
    </row>
    <row r="89" spans="1:21" x14ac:dyDescent="0.35">
      <c r="A89" s="2" t="s">
        <v>2</v>
      </c>
      <c r="C89">
        <f>B88*0.02</f>
        <v>248.12</v>
      </c>
      <c r="D89">
        <f t="shared" ref="D89:T89" si="44">C88*0.02</f>
        <v>248.12</v>
      </c>
      <c r="E89">
        <f t="shared" si="44"/>
        <v>248.12</v>
      </c>
      <c r="F89">
        <f t="shared" si="44"/>
        <v>248.12</v>
      </c>
      <c r="G89">
        <f t="shared" si="44"/>
        <v>248.12</v>
      </c>
      <c r="H89">
        <f t="shared" si="44"/>
        <v>248.12</v>
      </c>
      <c r="I89">
        <f t="shared" si="44"/>
        <v>248.12</v>
      </c>
      <c r="J89">
        <f t="shared" si="44"/>
        <v>248.12</v>
      </c>
      <c r="K89">
        <f t="shared" si="44"/>
        <v>248.12</v>
      </c>
      <c r="L89">
        <f t="shared" si="44"/>
        <v>248.12</v>
      </c>
      <c r="M89">
        <f t="shared" si="44"/>
        <v>220.55111111111111</v>
      </c>
      <c r="N89">
        <f t="shared" si="44"/>
        <v>192.98222222222219</v>
      </c>
      <c r="O89">
        <f t="shared" si="44"/>
        <v>165.4133333333333</v>
      </c>
      <c r="P89">
        <f t="shared" si="44"/>
        <v>137.84444444444441</v>
      </c>
      <c r="Q89">
        <f t="shared" si="44"/>
        <v>110.27555555555551</v>
      </c>
      <c r="R89">
        <f t="shared" si="44"/>
        <v>82.706666666666621</v>
      </c>
      <c r="S89">
        <f t="shared" si="44"/>
        <v>55.137777777777735</v>
      </c>
      <c r="T89">
        <f t="shared" si="44"/>
        <v>27.56888888888885</v>
      </c>
      <c r="U89">
        <f t="shared" ref="U89" si="45">T88*0.03</f>
        <v>0</v>
      </c>
    </row>
    <row r="90" spans="1:21" x14ac:dyDescent="0.35">
      <c r="A90" s="2" t="s">
        <v>3</v>
      </c>
      <c r="C90">
        <v>0</v>
      </c>
      <c r="D90">
        <f>C90</f>
        <v>0</v>
      </c>
      <c r="E90">
        <f t="shared" ref="E90" si="46">D90</f>
        <v>0</v>
      </c>
      <c r="F90">
        <f t="shared" ref="F90" si="47">E90</f>
        <v>0</v>
      </c>
      <c r="G90">
        <f t="shared" ref="G90" si="48">F90</f>
        <v>0</v>
      </c>
      <c r="H90">
        <f t="shared" ref="H90" si="49">G90</f>
        <v>0</v>
      </c>
      <c r="I90">
        <f t="shared" ref="I90" si="50">H90</f>
        <v>0</v>
      </c>
      <c r="J90">
        <f t="shared" ref="J90" si="51">I90</f>
        <v>0</v>
      </c>
      <c r="K90">
        <f t="shared" ref="K90" si="52">J90</f>
        <v>0</v>
      </c>
      <c r="L90">
        <f>K88/9</f>
        <v>1378.4444444444443</v>
      </c>
      <c r="M90">
        <f t="shared" ref="M90" si="53">L90</f>
        <v>1378.4444444444443</v>
      </c>
      <c r="N90">
        <f t="shared" ref="N90" si="54">M90</f>
        <v>1378.4444444444443</v>
      </c>
      <c r="O90">
        <f t="shared" ref="O90" si="55">N90</f>
        <v>1378.4444444444443</v>
      </c>
      <c r="P90">
        <f t="shared" ref="P90" si="56">O90</f>
        <v>1378.4444444444443</v>
      </c>
      <c r="Q90">
        <f>P90</f>
        <v>1378.4444444444443</v>
      </c>
      <c r="R90">
        <f t="shared" ref="R90:T90" si="57">Q90</f>
        <v>1378.4444444444443</v>
      </c>
      <c r="S90">
        <f t="shared" si="57"/>
        <v>1378.4444444444443</v>
      </c>
      <c r="T90">
        <f t="shared" si="57"/>
        <v>1378.4444444444443</v>
      </c>
      <c r="U90">
        <v>0</v>
      </c>
    </row>
    <row r="92" spans="1:21" x14ac:dyDescent="0.35">
      <c r="A92" s="2" t="s">
        <v>4</v>
      </c>
      <c r="C92">
        <f>C89+C90</f>
        <v>248.12</v>
      </c>
      <c r="D92">
        <f t="shared" ref="D92:T92" si="58">D89+D90</f>
        <v>248.12</v>
      </c>
      <c r="E92">
        <f t="shared" si="58"/>
        <v>248.12</v>
      </c>
      <c r="F92">
        <f t="shared" si="58"/>
        <v>248.12</v>
      </c>
      <c r="G92">
        <f t="shared" si="58"/>
        <v>248.12</v>
      </c>
      <c r="H92">
        <f t="shared" si="58"/>
        <v>248.12</v>
      </c>
      <c r="I92">
        <f t="shared" si="58"/>
        <v>248.12</v>
      </c>
      <c r="J92">
        <f t="shared" si="58"/>
        <v>248.12</v>
      </c>
      <c r="K92">
        <f t="shared" si="58"/>
        <v>248.12</v>
      </c>
      <c r="L92">
        <f t="shared" si="58"/>
        <v>1626.5644444444442</v>
      </c>
      <c r="M92">
        <f t="shared" si="58"/>
        <v>1598.9955555555555</v>
      </c>
      <c r="N92">
        <f t="shared" si="58"/>
        <v>1571.4266666666665</v>
      </c>
      <c r="O92">
        <f t="shared" si="58"/>
        <v>1543.8577777777778</v>
      </c>
      <c r="P92">
        <f t="shared" si="58"/>
        <v>1516.2888888888888</v>
      </c>
      <c r="Q92">
        <f t="shared" si="58"/>
        <v>1488.7199999999998</v>
      </c>
      <c r="R92">
        <f t="shared" si="58"/>
        <v>1461.151111111111</v>
      </c>
      <c r="S92">
        <f t="shared" si="58"/>
        <v>1433.5822222222221</v>
      </c>
      <c r="T92">
        <f t="shared" si="58"/>
        <v>1406.0133333333331</v>
      </c>
    </row>
    <row r="93" spans="1:21" x14ac:dyDescent="0.35">
      <c r="A93" s="2" t="s">
        <v>5</v>
      </c>
      <c r="B93">
        <v>0.05</v>
      </c>
    </row>
    <row r="94" spans="1:21" x14ac:dyDescent="0.35">
      <c r="A94" s="2" t="s">
        <v>6</v>
      </c>
      <c r="B94" s="4">
        <f>NPV(B93,D92:T92)</f>
        <v>8941.2965584367903</v>
      </c>
    </row>
    <row r="96" spans="1:21" x14ac:dyDescent="0.35">
      <c r="A96" s="1" t="s">
        <v>22</v>
      </c>
    </row>
    <row r="97" spans="1:7" x14ac:dyDescent="0.35">
      <c r="A97" t="s">
        <v>14</v>
      </c>
      <c r="B97">
        <v>478</v>
      </c>
      <c r="C97">
        <v>529.27133340859632</v>
      </c>
      <c r="D97">
        <v>598.60933340611518</v>
      </c>
      <c r="E97">
        <v>983.37933340363384</v>
      </c>
      <c r="F97">
        <v>1029.1415534011524</v>
      </c>
      <c r="G97">
        <v>898.32662109867101</v>
      </c>
    </row>
    <row r="98" spans="1:7" x14ac:dyDescent="0.35">
      <c r="A98" t="s">
        <v>15</v>
      </c>
      <c r="B98">
        <v>161</v>
      </c>
      <c r="C98">
        <v>76</v>
      </c>
      <c r="D98">
        <v>93</v>
      </c>
      <c r="E98">
        <v>58</v>
      </c>
      <c r="F98">
        <v>74</v>
      </c>
      <c r="G98">
        <v>305</v>
      </c>
    </row>
    <row r="99" spans="1:7" x14ac:dyDescent="0.35">
      <c r="A99" t="s">
        <v>16</v>
      </c>
      <c r="B99">
        <f>F22*1.26</f>
        <v>51.660000000000004</v>
      </c>
      <c r="C99">
        <f t="shared" ref="C99:G99" si="59">G22*1.26</f>
        <v>166.32</v>
      </c>
      <c r="D99">
        <f t="shared" si="59"/>
        <v>272.16000000000003</v>
      </c>
      <c r="E99">
        <f t="shared" si="59"/>
        <v>260.82</v>
      </c>
      <c r="F99">
        <f t="shared" si="59"/>
        <v>249.48</v>
      </c>
      <c r="G99">
        <f t="shared" si="59"/>
        <v>238.14000000000001</v>
      </c>
    </row>
    <row r="100" spans="1:7" x14ac:dyDescent="0.35">
      <c r="A100" t="s">
        <v>17</v>
      </c>
      <c r="B100">
        <f>E92</f>
        <v>248.12</v>
      </c>
      <c r="C100">
        <f t="shared" ref="C100:G100" si="60">F92</f>
        <v>248.12</v>
      </c>
      <c r="D100">
        <f t="shared" si="60"/>
        <v>248.12</v>
      </c>
      <c r="E100">
        <f t="shared" si="60"/>
        <v>248.12</v>
      </c>
      <c r="F100">
        <f t="shared" si="60"/>
        <v>248.12</v>
      </c>
      <c r="G100">
        <f t="shared" si="60"/>
        <v>248.12</v>
      </c>
    </row>
    <row r="101" spans="1:7" x14ac:dyDescent="0.35">
      <c r="A101" t="s">
        <v>18</v>
      </c>
      <c r="B101">
        <v>472.00500000000011</v>
      </c>
    </row>
    <row r="102" spans="1:7" x14ac:dyDescent="0.35">
      <c r="A102" t="s">
        <v>19</v>
      </c>
      <c r="B102">
        <f>B29*0.1</f>
        <v>891.5</v>
      </c>
      <c r="C102">
        <f t="shared" ref="C102:G102" si="61">C29*0.1</f>
        <v>994.30000000000007</v>
      </c>
      <c r="D102">
        <f t="shared" si="61"/>
        <v>1112.8</v>
      </c>
      <c r="E102">
        <f t="shared" si="61"/>
        <v>1195.8</v>
      </c>
      <c r="F102">
        <f t="shared" si="61"/>
        <v>1237.653</v>
      </c>
      <c r="G102">
        <f t="shared" si="61"/>
        <v>1280.9708549999998</v>
      </c>
    </row>
  </sheetData>
  <hyperlinks>
    <hyperlink ref="B54" r:id="rId1" xr:uid="{B1DEFBA6-E552-48D6-A301-F3C900E48A3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E363C1C95A174EBC4B3703A150C973" ma:contentTypeVersion="11" ma:contentTypeDescription="Create a new document." ma:contentTypeScope="" ma:versionID="6f9f2076baca6a0d2bd991e8743396ef">
  <xsd:schema xmlns:xsd="http://www.w3.org/2001/XMLSchema" xmlns:xs="http://www.w3.org/2001/XMLSchema" xmlns:p="http://schemas.microsoft.com/office/2006/metadata/properties" xmlns:ns2="00e8167f-f5fb-43e7-850a-c41ab40091c5" xmlns:ns3="864186a3-85bb-46b4-bd25-8ee3ddf4b9bf" targetNamespace="http://schemas.microsoft.com/office/2006/metadata/properties" ma:root="true" ma:fieldsID="887bcf563db938909207f1c94c74088a" ns2:_="" ns3:_="">
    <xsd:import namespace="00e8167f-f5fb-43e7-850a-c41ab40091c5"/>
    <xsd:import namespace="864186a3-85bb-46b4-bd25-8ee3ddf4b9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8167f-f5fb-43e7-850a-c41ab40091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86a3-85bb-46b4-bd25-8ee3ddf4b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F98FB-A6B8-4F57-8299-30BEA2605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e8167f-f5fb-43e7-850a-c41ab40091c5"/>
    <ds:schemaRef ds:uri="864186a3-85bb-46b4-bd25-8ee3ddf4b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32ACB7-80C2-4A66-AE33-E194712E08E6}">
  <ds:schemaRefs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864186a3-85bb-46b4-bd25-8ee3ddf4b9b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0e8167f-f5fb-43e7-850a-c41ab40091c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81E4E31-5356-4B54-AF26-3ECC23BFAA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Jones</dc:creator>
  <cp:lastModifiedBy>Tim Jones</cp:lastModifiedBy>
  <dcterms:created xsi:type="dcterms:W3CDTF">2024-11-19T13:26:03Z</dcterms:created>
  <dcterms:modified xsi:type="dcterms:W3CDTF">2024-12-11T10:50:52Z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0x01010016E363C1C95A174EBC4B3703A150C973</vt:lpwstr>
  </property>
</Properties>
</file>